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5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6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7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8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9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10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11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12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13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14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15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16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17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drawings/drawing18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19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20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21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22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drawings/drawing23.xml" ContentType="application/vnd.openxmlformats-officedocument.drawing+xml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drawings/drawing24.xml" ContentType="application/vnd.openxmlformats-officedocument.drawing+xml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drawings/drawing25.xml" ContentType="application/vnd.openxmlformats-officedocument.drawing+xml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drawings/drawing26.xml" ContentType="application/vnd.openxmlformats-officedocument.drawing+xml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drawings/drawing27.xml" ContentType="application/vnd.openxmlformats-officedocument.drawing+xml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ivisions\Business Services\Shared\Financial Transparency\Budgets\"/>
    </mc:Choice>
  </mc:AlternateContent>
  <xr:revisionPtr revIDLastSave="0" documentId="13_ncr:1_{A0C5B9EF-7F9E-4B11-BA37-CAF6D478067F}" xr6:coauthVersionLast="47" xr6:coauthVersionMax="47" xr10:uidLastSave="{00000000-0000-0000-0000-000000000000}"/>
  <bookViews>
    <workbookView xWindow="-103" yWindow="-103" windowWidth="21600" windowHeight="13749" tabRatio="771" xr2:uid="{00000000-000D-0000-FFFF-FFFF00000000}"/>
  </bookViews>
  <sheets>
    <sheet name="3% Overview" sheetId="2" r:id="rId1"/>
    <sheet name="3% Personnel" sheetId="3" r:id="rId2"/>
    <sheet name="Budget-Services" sheetId="4" r:id="rId3"/>
    <sheet name="ARB Budget" sheetId="5" r:id="rId4"/>
    <sheet name="Recap chart" sheetId="6" r:id="rId5"/>
    <sheet name="6110" sheetId="7" r:id="rId6"/>
    <sheet name="6120" sheetId="8" r:id="rId7"/>
    <sheet name="6130" sheetId="9" r:id="rId8"/>
    <sheet name="6140" sheetId="10" r:id="rId9"/>
    <sheet name="6150" sheetId="11" r:id="rId10"/>
    <sheet name="6160" sheetId="12" r:id="rId11"/>
    <sheet name="6210" sheetId="13" r:id="rId12"/>
    <sheet name="6215" sheetId="14" r:id="rId13"/>
    <sheet name="6220" sheetId="15" r:id="rId14"/>
    <sheet name="6225" sheetId="16" r:id="rId15"/>
    <sheet name="6235" sheetId="17" r:id="rId16"/>
    <sheet name="6236" sheetId="18" r:id="rId17"/>
    <sheet name="6240" sheetId="19" r:id="rId18"/>
    <sheet name="6250" sheetId="30" r:id="rId19"/>
    <sheet name="6260" sheetId="20" r:id="rId20"/>
    <sheet name="6280" sheetId="21" r:id="rId21"/>
    <sheet name="6285" sheetId="22" r:id="rId22"/>
    <sheet name="6290" sheetId="23" r:id="rId23"/>
    <sheet name="6310" sheetId="24" r:id="rId24"/>
    <sheet name="6320" sheetId="25" r:id="rId25"/>
    <sheet name="6330" sheetId="26" r:id="rId26"/>
    <sheet name="6340" sheetId="27" r:id="rId27"/>
    <sheet name="6350" sheetId="28" r:id="rId28"/>
    <sheet name="6810" sheetId="31" r:id="rId29"/>
    <sheet name="8010" sheetId="29" r:id="rId30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'3% Overview'!$A$1:$K$37</definedName>
    <definedName name="_xlnm.Print_Area" localSheetId="1">'3% Personnel'!$A$1:$H$77</definedName>
    <definedName name="_xlnm.Print_Area" localSheetId="3">'ARB Budget'!$A$1:$I$38</definedName>
    <definedName name="_xlnm.Print_Area" localSheetId="2">'Budget-Services'!$A$1:$K$389</definedName>
    <definedName name="_xlnm.Print_Titles" localSheetId="1">'3% Personnel'!$1:$1</definedName>
    <definedName name="_xlnm.Print_Titles" localSheetId="5">'6110'!#REF!,'6110'!$1:$1</definedName>
    <definedName name="_xlnm.Print_Titles" localSheetId="6">'6120'!#REF!,'6120'!$1:$1</definedName>
    <definedName name="_xlnm.Print_Titles" localSheetId="7">'6130'!#REF!,'6130'!$1:$1</definedName>
    <definedName name="_xlnm.Print_Titles" localSheetId="8">'6140'!#REF!,'6140'!$1:$1</definedName>
    <definedName name="_xlnm.Print_Titles" localSheetId="9">'6150'!#REF!,'6150'!$1:$1</definedName>
    <definedName name="_xlnm.Print_Titles" localSheetId="10">'6160'!#REF!,'6160'!$1:$1</definedName>
    <definedName name="_xlnm.Print_Titles" localSheetId="11">'6210'!#REF!,'6210'!$1:$1</definedName>
    <definedName name="_xlnm.Print_Titles" localSheetId="12">'6215'!#REF!,'6215'!$1:$1</definedName>
    <definedName name="_xlnm.Print_Titles" localSheetId="13">'6220'!#REF!,'6220'!$1:$1</definedName>
    <definedName name="_xlnm.Print_Titles" localSheetId="14">'6225'!#REF!,'6225'!$1:$1</definedName>
    <definedName name="_xlnm.Print_Titles" localSheetId="15">'6235'!#REF!,'6235'!$1:$1</definedName>
    <definedName name="_xlnm.Print_Titles" localSheetId="16">'6236'!#REF!,'6236'!$1:$1</definedName>
    <definedName name="_xlnm.Print_Titles" localSheetId="17">'6240'!#REF!,'6240'!$1:$1</definedName>
    <definedName name="_xlnm.Print_Titles" localSheetId="19">'6260'!#REF!,'6260'!$1:$1</definedName>
    <definedName name="_xlnm.Print_Titles" localSheetId="20">'6280'!#REF!,'6280'!$1:$1</definedName>
    <definedName name="_xlnm.Print_Titles" localSheetId="21">'6285'!#REF!,'6285'!$1:$1</definedName>
    <definedName name="_xlnm.Print_Titles" localSheetId="22">'6290'!#REF!,'6290'!$1:$1</definedName>
    <definedName name="_xlnm.Print_Titles" localSheetId="23">'6310'!#REF!,'6310'!$1:$1</definedName>
    <definedName name="_xlnm.Print_Titles" localSheetId="24">'6320'!#REF!,'6320'!$1:$1</definedName>
    <definedName name="_xlnm.Print_Titles" localSheetId="25">'6330'!#REF!,'6330'!$1:$1</definedName>
    <definedName name="_xlnm.Print_Titles" localSheetId="26">'6340'!#REF!,'6340'!$1:$1</definedName>
    <definedName name="_xlnm.Print_Titles" localSheetId="27">'6350'!#REF!,'6350'!$1:$1</definedName>
    <definedName name="_xlnm.Print_Titles" localSheetId="28">'6810'!#REF!,'6810'!$1:$1</definedName>
    <definedName name="_xlnm.Print_Titles" localSheetId="29">'8010'!#REF!,'8010'!$1:$1</definedName>
    <definedName name="_xlnm.Print_Titles" localSheetId="3">'ARB Budget'!$1:$1</definedName>
    <definedName name="_xlnm.Print_Titles" localSheetId="2">'Budget-Services'!$1:$1</definedName>
    <definedName name="QB_COLUMN_1" localSheetId="5" hidden="1">'6110'!#REF!</definedName>
    <definedName name="QB_COLUMN_1" localSheetId="6" hidden="1">'6120'!#REF!</definedName>
    <definedName name="QB_COLUMN_1" localSheetId="7" hidden="1">'6130'!#REF!</definedName>
    <definedName name="QB_COLUMN_1" localSheetId="8" hidden="1">'6140'!#REF!</definedName>
    <definedName name="QB_COLUMN_1" localSheetId="9" hidden="1">'6150'!#REF!</definedName>
    <definedName name="QB_COLUMN_1" localSheetId="10" hidden="1">'6160'!#REF!</definedName>
    <definedName name="QB_COLUMN_1" localSheetId="11" hidden="1">'6210'!#REF!</definedName>
    <definedName name="QB_COLUMN_1" localSheetId="12" hidden="1">'6215'!#REF!</definedName>
    <definedName name="QB_COLUMN_1" localSheetId="13" hidden="1">'6220'!#REF!</definedName>
    <definedName name="QB_COLUMN_1" localSheetId="14" hidden="1">'6225'!#REF!</definedName>
    <definedName name="QB_COLUMN_1" localSheetId="15" hidden="1">'6235'!#REF!</definedName>
    <definedName name="QB_COLUMN_1" localSheetId="16" hidden="1">'6236'!#REF!</definedName>
    <definedName name="QB_COLUMN_1" localSheetId="17" hidden="1">'6240'!#REF!</definedName>
    <definedName name="QB_COLUMN_1" localSheetId="19" hidden="1">'6260'!#REF!</definedName>
    <definedName name="QB_COLUMN_1" localSheetId="20" hidden="1">'6280'!#REF!</definedName>
    <definedName name="QB_COLUMN_1" localSheetId="21" hidden="1">'6285'!#REF!</definedName>
    <definedName name="QB_COLUMN_1" localSheetId="22" hidden="1">'6290'!#REF!</definedName>
    <definedName name="QB_COLUMN_1" localSheetId="23" hidden="1">'6310'!#REF!</definedName>
    <definedName name="QB_COLUMN_1" localSheetId="24" hidden="1">'6320'!#REF!</definedName>
    <definedName name="QB_COLUMN_1" localSheetId="25" hidden="1">'6330'!#REF!</definedName>
    <definedName name="QB_COLUMN_1" localSheetId="26" hidden="1">'6340'!#REF!</definedName>
    <definedName name="QB_COLUMN_1" localSheetId="27" hidden="1">'6350'!#REF!</definedName>
    <definedName name="QB_COLUMN_1" localSheetId="28" hidden="1">'6810'!#REF!</definedName>
    <definedName name="QB_COLUMN_1" localSheetId="29" hidden="1">'8010'!#REF!</definedName>
    <definedName name="QB_COLUMN_20" localSheetId="5" hidden="1">'6110'!#REF!</definedName>
    <definedName name="QB_COLUMN_20" localSheetId="7" hidden="1">'6130'!#REF!</definedName>
    <definedName name="QB_COLUMN_20" localSheetId="8" hidden="1">'6140'!#REF!</definedName>
    <definedName name="QB_COLUMN_20" localSheetId="9" hidden="1">'6150'!#REF!</definedName>
    <definedName name="QB_COLUMN_20" localSheetId="10" hidden="1">'6160'!#REF!</definedName>
    <definedName name="QB_COLUMN_20" localSheetId="11" hidden="1">'6210'!#REF!</definedName>
    <definedName name="QB_COLUMN_20" localSheetId="12" hidden="1">'6215'!#REF!</definedName>
    <definedName name="QB_COLUMN_20" localSheetId="13" hidden="1">'6220'!#REF!</definedName>
    <definedName name="QB_COLUMN_20" localSheetId="14" hidden="1">'6225'!#REF!</definedName>
    <definedName name="QB_COLUMN_20" localSheetId="15" hidden="1">'6235'!#REF!</definedName>
    <definedName name="QB_COLUMN_20" localSheetId="16" hidden="1">'6236'!#REF!</definedName>
    <definedName name="QB_COLUMN_20" localSheetId="17" hidden="1">'6240'!#REF!</definedName>
    <definedName name="QB_COLUMN_20" localSheetId="19" hidden="1">'6260'!#REF!</definedName>
    <definedName name="QB_COLUMN_20" localSheetId="20" hidden="1">'6280'!#REF!</definedName>
    <definedName name="QB_COLUMN_20" localSheetId="21" hidden="1">'6285'!#REF!</definedName>
    <definedName name="QB_COLUMN_20" localSheetId="22" hidden="1">'6290'!#REF!</definedName>
    <definedName name="QB_COLUMN_20" localSheetId="23" hidden="1">'6310'!#REF!</definedName>
    <definedName name="QB_COLUMN_20" localSheetId="24" hidden="1">'6320'!#REF!</definedName>
    <definedName name="QB_COLUMN_20" localSheetId="25" hidden="1">'6330'!#REF!</definedName>
    <definedName name="QB_COLUMN_20" localSheetId="26" hidden="1">'6340'!#REF!</definedName>
    <definedName name="QB_COLUMN_20" localSheetId="27" hidden="1">'6350'!#REF!</definedName>
    <definedName name="QB_COLUMN_20" localSheetId="28" hidden="1">'6810'!#REF!</definedName>
    <definedName name="QB_COLUMN_20" localSheetId="29" hidden="1">'8010'!#REF!</definedName>
    <definedName name="QB_COLUMN_3" localSheetId="5" hidden="1">'6110'!$A$1</definedName>
    <definedName name="QB_COLUMN_3" localSheetId="6" hidden="1">'6120'!$A$1</definedName>
    <definedName name="QB_COLUMN_3" localSheetId="7" hidden="1">'6130'!$A$1</definedName>
    <definedName name="QB_COLUMN_3" localSheetId="8" hidden="1">'6140'!$A$1</definedName>
    <definedName name="QB_COLUMN_3" localSheetId="9" hidden="1">'6150'!$A$1</definedName>
    <definedName name="QB_COLUMN_3" localSheetId="10" hidden="1">'6160'!$A$1</definedName>
    <definedName name="QB_COLUMN_3" localSheetId="11" hidden="1">'6210'!$A$1</definedName>
    <definedName name="QB_COLUMN_3" localSheetId="12" hidden="1">'6215'!$A$1</definedName>
    <definedName name="QB_COLUMN_3" localSheetId="13" hidden="1">'6220'!$A$1</definedName>
    <definedName name="QB_COLUMN_3" localSheetId="14" hidden="1">'6225'!$A$1</definedName>
    <definedName name="QB_COLUMN_3" localSheetId="15" hidden="1">'6235'!$A$1</definedName>
    <definedName name="QB_COLUMN_3" localSheetId="16" hidden="1">'6236'!$A$1</definedName>
    <definedName name="QB_COLUMN_3" localSheetId="17" hidden="1">'6240'!$A$1</definedName>
    <definedName name="QB_COLUMN_3" localSheetId="19" hidden="1">'6260'!$A$1</definedName>
    <definedName name="QB_COLUMN_3" localSheetId="20" hidden="1">'6280'!$A$1</definedName>
    <definedName name="QB_COLUMN_3" localSheetId="21" hidden="1">'6285'!$A$1</definedName>
    <definedName name="QB_COLUMN_3" localSheetId="22" hidden="1">'6290'!$A$1</definedName>
    <definedName name="QB_COLUMN_3" localSheetId="23" hidden="1">'6310'!$A$1</definedName>
    <definedName name="QB_COLUMN_3" localSheetId="24" hidden="1">'6320'!$A$1</definedName>
    <definedName name="QB_COLUMN_3" localSheetId="25" hidden="1">'6330'!$A$1</definedName>
    <definedName name="QB_COLUMN_3" localSheetId="26" hidden="1">'6340'!$A$1</definedName>
    <definedName name="QB_COLUMN_3" localSheetId="27" hidden="1">'6350'!$A$1</definedName>
    <definedName name="QB_COLUMN_3" localSheetId="28" hidden="1">'6810'!$A$1</definedName>
    <definedName name="QB_COLUMN_3" localSheetId="29" hidden="1">'8010'!$A$1</definedName>
    <definedName name="QB_COLUMN_30" localSheetId="5" hidden="1">'6110'!$F$1</definedName>
    <definedName name="QB_COLUMN_30" localSheetId="6" hidden="1">'6120'!$F$1</definedName>
    <definedName name="QB_COLUMN_30" localSheetId="7" hidden="1">'6130'!$F$1</definedName>
    <definedName name="QB_COLUMN_30" localSheetId="8" hidden="1">'6140'!$F$1</definedName>
    <definedName name="QB_COLUMN_30" localSheetId="9" hidden="1">'6150'!$F$1</definedName>
    <definedName name="QB_COLUMN_30" localSheetId="10" hidden="1">'6160'!$F$1</definedName>
    <definedName name="QB_COLUMN_30" localSheetId="11" hidden="1">'6210'!$F$1</definedName>
    <definedName name="QB_COLUMN_30" localSheetId="12" hidden="1">'6215'!$F$1</definedName>
    <definedName name="QB_COLUMN_30" localSheetId="13" hidden="1">'6220'!$F$1</definedName>
    <definedName name="QB_COLUMN_30" localSheetId="14" hidden="1">'6225'!$F$1</definedName>
    <definedName name="QB_COLUMN_30" localSheetId="15" hidden="1">'6235'!$F$1</definedName>
    <definedName name="QB_COLUMN_30" localSheetId="16" hidden="1">'6236'!$F$1</definedName>
    <definedName name="QB_COLUMN_30" localSheetId="17" hidden="1">'6240'!$F$1</definedName>
    <definedName name="QB_COLUMN_30" localSheetId="19" hidden="1">'6260'!$F$1</definedName>
    <definedName name="QB_COLUMN_30" localSheetId="20" hidden="1">'6280'!$F$1</definedName>
    <definedName name="QB_COLUMN_30" localSheetId="21" hidden="1">'6285'!$F$1</definedName>
    <definedName name="QB_COLUMN_30" localSheetId="22" hidden="1">'6290'!$F$1</definedName>
    <definedName name="QB_COLUMN_30" localSheetId="23" hidden="1">'6310'!$F$1</definedName>
    <definedName name="QB_COLUMN_30" localSheetId="24" hidden="1">'6320'!$F$1</definedName>
    <definedName name="QB_COLUMN_30" localSheetId="25" hidden="1">'6330'!$F$1</definedName>
    <definedName name="QB_COLUMN_30" localSheetId="26" hidden="1">'6340'!$F$1</definedName>
    <definedName name="QB_COLUMN_30" localSheetId="27" hidden="1">'6350'!$F$1</definedName>
    <definedName name="QB_COLUMN_30" localSheetId="28" hidden="1">'6810'!$F$1</definedName>
    <definedName name="QB_COLUMN_30" localSheetId="29" hidden="1">'8010'!$F$1</definedName>
    <definedName name="QB_COLUMN_4" localSheetId="5" hidden="1">'6110'!$B$1</definedName>
    <definedName name="QB_COLUMN_4" localSheetId="6" hidden="1">'6120'!$B$1</definedName>
    <definedName name="QB_COLUMN_4" localSheetId="7" hidden="1">'6130'!$B$1</definedName>
    <definedName name="QB_COLUMN_4" localSheetId="8" hidden="1">'6140'!$B$1</definedName>
    <definedName name="QB_COLUMN_4" localSheetId="9" hidden="1">'6150'!$B$1</definedName>
    <definedName name="QB_COLUMN_4" localSheetId="10" hidden="1">'6160'!$B$1</definedName>
    <definedName name="QB_COLUMN_4" localSheetId="11" hidden="1">'6210'!$B$1</definedName>
    <definedName name="QB_COLUMN_4" localSheetId="12" hidden="1">'6215'!$B$1</definedName>
    <definedName name="QB_COLUMN_4" localSheetId="13" hidden="1">'6220'!$B$1</definedName>
    <definedName name="QB_COLUMN_4" localSheetId="14" hidden="1">'6225'!$B$1</definedName>
    <definedName name="QB_COLUMN_4" localSheetId="15" hidden="1">'6235'!$B$1</definedName>
    <definedName name="QB_COLUMN_4" localSheetId="16" hidden="1">'6236'!$B$1</definedName>
    <definedName name="QB_COLUMN_4" localSheetId="17" hidden="1">'6240'!$B$1</definedName>
    <definedName name="QB_COLUMN_4" localSheetId="19" hidden="1">'6260'!$B$1</definedName>
    <definedName name="QB_COLUMN_4" localSheetId="20" hidden="1">'6280'!$B$1</definedName>
    <definedName name="QB_COLUMN_4" localSheetId="21" hidden="1">'6285'!$B$1</definedName>
    <definedName name="QB_COLUMN_4" localSheetId="22" hidden="1">'6290'!$B$1</definedName>
    <definedName name="QB_COLUMN_4" localSheetId="23" hidden="1">'6310'!$B$1</definedName>
    <definedName name="QB_COLUMN_4" localSheetId="24" hidden="1">'6320'!$B$1</definedName>
    <definedName name="QB_COLUMN_4" localSheetId="25" hidden="1">'6330'!$B$1</definedName>
    <definedName name="QB_COLUMN_4" localSheetId="26" hidden="1">'6340'!$B$1</definedName>
    <definedName name="QB_COLUMN_4" localSheetId="27" hidden="1">'6350'!$B$1</definedName>
    <definedName name="QB_COLUMN_4" localSheetId="28" hidden="1">'6810'!$B$1</definedName>
    <definedName name="QB_COLUMN_4" localSheetId="29" hidden="1">'8010'!$B$1</definedName>
    <definedName name="QB_COLUMN_5" localSheetId="5" hidden="1">'6110'!$C$1</definedName>
    <definedName name="QB_COLUMN_5" localSheetId="6" hidden="1">'6120'!$C$1</definedName>
    <definedName name="QB_COLUMN_5" localSheetId="7" hidden="1">'6130'!$C$1</definedName>
    <definedName name="QB_COLUMN_5" localSheetId="8" hidden="1">'6140'!$C$1</definedName>
    <definedName name="QB_COLUMN_5" localSheetId="9" hidden="1">'6150'!$C$1</definedName>
    <definedName name="QB_COLUMN_5" localSheetId="10" hidden="1">'6160'!$C$1</definedName>
    <definedName name="QB_COLUMN_5" localSheetId="11" hidden="1">'6210'!$C$1</definedName>
    <definedName name="QB_COLUMN_5" localSheetId="12" hidden="1">'6215'!$C$1</definedName>
    <definedName name="QB_COLUMN_5" localSheetId="13" hidden="1">'6220'!$C$1</definedName>
    <definedName name="QB_COLUMN_5" localSheetId="14" hidden="1">'6225'!$C$1</definedName>
    <definedName name="QB_COLUMN_5" localSheetId="15" hidden="1">'6235'!$C$1</definedName>
    <definedName name="QB_COLUMN_5" localSheetId="16" hidden="1">'6236'!$C$1</definedName>
    <definedName name="QB_COLUMN_5" localSheetId="17" hidden="1">'6240'!$C$1</definedName>
    <definedName name="QB_COLUMN_5" localSheetId="19" hidden="1">'6260'!$C$1</definedName>
    <definedName name="QB_COLUMN_5" localSheetId="20" hidden="1">'6280'!$C$1</definedName>
    <definedName name="QB_COLUMN_5" localSheetId="21" hidden="1">'6285'!$C$1</definedName>
    <definedName name="QB_COLUMN_5" localSheetId="22" hidden="1">'6290'!$C$1</definedName>
    <definedName name="QB_COLUMN_5" localSheetId="23" hidden="1">'6310'!$C$1</definedName>
    <definedName name="QB_COLUMN_5" localSheetId="24" hidden="1">'6320'!$C$1</definedName>
    <definedName name="QB_COLUMN_5" localSheetId="25" hidden="1">'6330'!$C$1</definedName>
    <definedName name="QB_COLUMN_5" localSheetId="26" hidden="1">'6340'!$C$1</definedName>
    <definedName name="QB_COLUMN_5" localSheetId="27" hidden="1">'6350'!$C$1</definedName>
    <definedName name="QB_COLUMN_5" localSheetId="28" hidden="1">'6810'!$C$1</definedName>
    <definedName name="QB_COLUMN_5" localSheetId="29" hidden="1">'8010'!$C$1</definedName>
    <definedName name="QB_COLUMN_7" localSheetId="5" hidden="1">'6110'!$D$1</definedName>
    <definedName name="QB_COLUMN_7" localSheetId="6" hidden="1">'6120'!$D$1</definedName>
    <definedName name="QB_COLUMN_7" localSheetId="7" hidden="1">'6130'!$D$1</definedName>
    <definedName name="QB_COLUMN_7" localSheetId="8" hidden="1">'6140'!$D$1</definedName>
    <definedName name="QB_COLUMN_7" localSheetId="9" hidden="1">'6150'!$D$1</definedName>
    <definedName name="QB_COLUMN_7" localSheetId="10" hidden="1">'6160'!$D$1</definedName>
    <definedName name="QB_COLUMN_7" localSheetId="11" hidden="1">'6210'!$D$1</definedName>
    <definedName name="QB_COLUMN_7" localSheetId="12" hidden="1">'6215'!$D$1</definedName>
    <definedName name="QB_COLUMN_7" localSheetId="13" hidden="1">'6220'!$D$1</definedName>
    <definedName name="QB_COLUMN_7" localSheetId="14" hidden="1">'6225'!$D$1</definedName>
    <definedName name="QB_COLUMN_7" localSheetId="15" hidden="1">'6235'!$D$1</definedName>
    <definedName name="QB_COLUMN_7" localSheetId="16" hidden="1">'6236'!$D$1</definedName>
    <definedName name="QB_COLUMN_7" localSheetId="17" hidden="1">'6240'!$D$1</definedName>
    <definedName name="QB_COLUMN_7" localSheetId="19" hidden="1">'6260'!$D$1</definedName>
    <definedName name="QB_COLUMN_7" localSheetId="20" hidden="1">'6280'!$D$1</definedName>
    <definedName name="QB_COLUMN_7" localSheetId="21" hidden="1">'6285'!$D$1</definedName>
    <definedName name="QB_COLUMN_7" localSheetId="22" hidden="1">'6290'!$D$1</definedName>
    <definedName name="QB_COLUMN_7" localSheetId="23" hidden="1">'6310'!$D$1</definedName>
    <definedName name="QB_COLUMN_7" localSheetId="24" hidden="1">'6320'!$D$1</definedName>
    <definedName name="QB_COLUMN_7" localSheetId="25" hidden="1">'6330'!$D$1</definedName>
    <definedName name="QB_COLUMN_7" localSheetId="26" hidden="1">'6340'!$D$1</definedName>
    <definedName name="QB_COLUMN_7" localSheetId="27" hidden="1">'6350'!$D$1</definedName>
    <definedName name="QB_COLUMN_7" localSheetId="28" hidden="1">'6810'!$D$1</definedName>
    <definedName name="QB_COLUMN_7" localSheetId="29" hidden="1">'8010'!$D$1</definedName>
    <definedName name="QB_COLUMN_8" localSheetId="5" hidden="1">'6110'!$E$1</definedName>
    <definedName name="QB_COLUMN_8" localSheetId="6" hidden="1">'6120'!$E$1</definedName>
    <definedName name="QB_COLUMN_8" localSheetId="7" hidden="1">'6130'!$E$1</definedName>
    <definedName name="QB_COLUMN_8" localSheetId="8" hidden="1">'6140'!$E$1</definedName>
    <definedName name="QB_COLUMN_8" localSheetId="9" hidden="1">'6150'!$E$1</definedName>
    <definedName name="QB_COLUMN_8" localSheetId="10" hidden="1">'6160'!$E$1</definedName>
    <definedName name="QB_COLUMN_8" localSheetId="11" hidden="1">'6210'!$E$1</definedName>
    <definedName name="QB_COLUMN_8" localSheetId="12" hidden="1">'6215'!$E$1</definedName>
    <definedName name="QB_COLUMN_8" localSheetId="13" hidden="1">'6220'!$E$1</definedName>
    <definedName name="QB_COLUMN_8" localSheetId="14" hidden="1">'6225'!$E$1</definedName>
    <definedName name="QB_COLUMN_8" localSheetId="15" hidden="1">'6235'!$E$1</definedName>
    <definedName name="QB_COLUMN_8" localSheetId="16" hidden="1">'6236'!$E$1</definedName>
    <definedName name="QB_COLUMN_8" localSheetId="17" hidden="1">'6240'!$E$1</definedName>
    <definedName name="QB_COLUMN_8" localSheetId="19" hidden="1">'6260'!$E$1</definedName>
    <definedName name="QB_COLUMN_8" localSheetId="20" hidden="1">'6280'!$E$1</definedName>
    <definedName name="QB_COLUMN_8" localSheetId="21" hidden="1">'6285'!$E$1</definedName>
    <definedName name="QB_COLUMN_8" localSheetId="22" hidden="1">'6290'!$E$1</definedName>
    <definedName name="QB_COLUMN_8" localSheetId="23" hidden="1">'6310'!$E$1</definedName>
    <definedName name="QB_COLUMN_8" localSheetId="24" hidden="1">'6320'!$E$1</definedName>
    <definedName name="QB_COLUMN_8" localSheetId="25" hidden="1">'6330'!$E$1</definedName>
    <definedName name="QB_COLUMN_8" localSheetId="26" hidden="1">'6340'!$E$1</definedName>
    <definedName name="QB_COLUMN_8" localSheetId="27" hidden="1">'6350'!$E$1</definedName>
    <definedName name="QB_COLUMN_8" localSheetId="28" hidden="1">'6810'!$E$1</definedName>
    <definedName name="QB_COLUMN_8" localSheetId="29" hidden="1">'8010'!$E$1</definedName>
    <definedName name="QB_DATA_0" localSheetId="5" hidden="1">'6110'!$4:$4,'6110'!$5:$5,'6110'!$6:$6,'6110'!$7:$7,'6110'!$8:$8,'6110'!$9:$9,'6110'!$10:$10,'6110'!$11:$11,'6110'!$12:$12,'6110'!$13:$13,'6110'!$14:$14,'6110'!$15:$15,'6110'!$16:$16,'6110'!$17:$17,'6110'!$18:$18,'6110'!$19:$19</definedName>
    <definedName name="QB_DATA_0" localSheetId="6" hidden="1">'6120'!$4:$4,'6120'!$5:$5,'6120'!$6:$6,'6120'!$7:$7,'6120'!$8:$8,'6120'!$9:$9,'6120'!$10:$10,'6120'!$11:$11,'6120'!$12:$12,'6120'!$13:$13,'6120'!$14:$14,'6120'!$15:$15,'6120'!$16:$16,'6120'!$17:$17,'6120'!$18:$18,'6120'!$19:$19</definedName>
    <definedName name="QB_DATA_0" localSheetId="7" hidden="1">'6130'!$4:$4,'6130'!$5:$5,'6130'!$6:$6,'6130'!$7:$7,'6130'!$8:$8,'6130'!$9:$9,'6130'!$10:$10,'6130'!$11:$11,'6130'!$12:$12,'6130'!$13:$13,'6130'!$14:$14,'6130'!$15:$15,'6130'!$16:$16,'6130'!$17:$17,'6130'!$18:$18,'6130'!$19:$19</definedName>
    <definedName name="QB_DATA_0" localSheetId="8" hidden="1">'6140'!$4:$4,'6140'!$5:$5,'6140'!$6:$6,'6140'!$7:$7,'6140'!$8:$8,'6140'!$9:$9,'6140'!$10:$10,'6140'!$11:$11,'6140'!$12:$12,'6140'!$13:$13,'6140'!$14:$14,'6140'!$15:$15,'6140'!$16:$16,'6140'!$17:$17,'6140'!$18:$18,'6140'!$19:$19</definedName>
    <definedName name="QB_DATA_0" localSheetId="9" hidden="1">'6150'!$4:$4,'6150'!$5:$5,'6150'!$6:$6,'6150'!$7:$7,'6150'!$8:$8,'6150'!$9:$9,'6150'!$10:$10,'6150'!$11:$11,'6150'!$12:$12,'6150'!$13:$13,'6150'!$14:$14,'6150'!$15:$15,'6150'!$16:$16,'6150'!$17:$17,'6150'!$18:$18,'6150'!$19:$19</definedName>
    <definedName name="QB_DATA_0" localSheetId="10" hidden="1">'6160'!$4:$4,'6160'!$5:$5,'6160'!$6:$6,'6160'!$7:$7,'6160'!$8:$8,'6160'!$9:$9,'6160'!$10:$10,'6160'!$11:$11,'6160'!$12:$12,'6160'!$13:$13,'6160'!$14:$14,'6160'!$15:$15,'6160'!$16:$16,'6160'!$17:$17,'6160'!$18:$18,'6160'!$19:$19</definedName>
    <definedName name="QB_DATA_0" localSheetId="11" hidden="1">'6210'!$4:$4,'6210'!$5:$5,'6210'!$6:$6,'6210'!$7:$7,'6210'!$8:$8,'6210'!$9:$9,'6210'!$10:$10,'6210'!$11:$11,'6210'!$12:$12,'6210'!$13:$13,'6210'!$14:$14,'6210'!$15:$15,'6210'!$16:$16,'6210'!$17:$17,'6210'!$18:$18,'6210'!$19:$19</definedName>
    <definedName name="QB_DATA_0" localSheetId="12" hidden="1">'6215'!$4:$4,'6215'!$5:$5,'6215'!$6:$6,'6215'!$7:$7,'6215'!$8:$8,'6215'!$9:$9,'6215'!$10:$10,'6215'!$11:$11,'6215'!$12:$12,'6215'!$13:$13,'6215'!$14:$14,'6215'!$15:$15,'6215'!$16:$16,'6215'!$17:$17,'6215'!$18:$18,'6215'!$19:$19</definedName>
    <definedName name="QB_DATA_0" localSheetId="13" hidden="1">'6220'!$4:$4,'6220'!$5:$5,'6220'!$6:$6,'6220'!$7:$7,'6220'!$8:$8,'6220'!$9:$9,'6220'!$10:$10,'6220'!$11:$11,'6220'!$12:$12,'6220'!$13:$13,'6220'!$14:$14,'6220'!$15:$15,'6220'!$16:$16,'6220'!$17:$17,'6220'!$18:$18,'6220'!$19:$19</definedName>
    <definedName name="QB_DATA_0" localSheetId="14" hidden="1">'6225'!$4:$4,'6225'!$5:$5,'6225'!$6:$6,'6225'!$7:$7,'6225'!$8:$8,'6225'!$9:$9,'6225'!$10:$10,'6225'!$11:$11,'6225'!$12:$12,'6225'!$13:$13,'6225'!$14:$14,'6225'!$15:$15,'6225'!$16:$16,'6225'!$17:$17,'6225'!$18:$18,'6225'!$19:$19</definedName>
    <definedName name="QB_DATA_0" localSheetId="15" hidden="1">'6235'!$4:$4,'6235'!$5:$5,'6235'!$6:$6,'6235'!$7:$7,'6235'!$8:$8,'6235'!$9:$9,'6235'!$10:$10,'6235'!$11:$11,'6235'!$12:$12,'6235'!$13:$13,'6235'!$14:$14,'6235'!$15:$15,'6235'!$16:$16,'6235'!$17:$17,'6235'!$18:$18,'6235'!$19:$19</definedName>
    <definedName name="QB_DATA_0" localSheetId="16" hidden="1">'6236'!$4:$4,'6236'!$5:$5,'6236'!$6:$6,'6236'!$7:$7,'6236'!$8:$8,'6236'!$9:$9,'6236'!$10:$10,'6236'!$11:$11,'6236'!$12:$12,'6236'!$13:$13,'6236'!$14:$14,'6236'!$15:$15,'6236'!$16:$16,'6236'!$17:$17,'6236'!$18:$18,'6236'!$19:$19</definedName>
    <definedName name="QB_DATA_0" localSheetId="17" hidden="1">'6240'!$4:$4,'6240'!$5:$5,'6240'!$6:$6,'6240'!$7:$7,'6240'!$8:$8,'6240'!$9:$9,'6240'!$10:$10,'6240'!$11:$11,'6240'!$12:$12,'6240'!$13:$13,'6240'!$14:$14,'6240'!$15:$15,'6240'!$16:$16,'6240'!$17:$17,'6240'!$18:$18,'6240'!$19:$19</definedName>
    <definedName name="QB_DATA_0" localSheetId="19" hidden="1">'6260'!$4:$4,'6260'!$5:$5,'6260'!$6:$6,'6260'!$7:$7,'6260'!$8:$8,'6260'!$9:$9,'6260'!$10:$10,'6260'!$11:$11,'6260'!$12:$12,'6260'!$13:$13,'6260'!$14:$14,'6260'!$15:$15,'6260'!$16:$16,'6260'!$17:$17,'6260'!$18:$18,'6260'!$19:$19</definedName>
    <definedName name="QB_DATA_0" localSheetId="20" hidden="1">'6280'!$4:$4,'6280'!$5:$5,'6280'!$6:$6,'6280'!$7:$7,'6280'!$8:$8,'6280'!$9:$9,'6280'!$10:$10,'6280'!$11:$11,'6280'!$12:$12,'6280'!$13:$13,'6280'!$14:$14,'6280'!$15:$15,'6280'!$16:$16,'6280'!$17:$17,'6280'!$18:$18,'6280'!$19:$19</definedName>
    <definedName name="QB_DATA_0" localSheetId="21" hidden="1">'6285'!$4:$4,'6285'!$5:$5,'6285'!$6:$6,'6285'!$7:$7,'6285'!$8:$8,'6285'!$9:$9,'6285'!$10:$10,'6285'!$11:$11,'6285'!$12:$12,'6285'!$13:$13,'6285'!$14:$14,'6285'!$15:$15,'6285'!$16:$16,'6285'!$17:$17,'6285'!$18:$18,'6285'!$19:$19</definedName>
    <definedName name="QB_DATA_0" localSheetId="22" hidden="1">'6290'!$4:$4,'6290'!$5:$5,'6290'!$6:$6,'6290'!$7:$7,'6290'!$8:$8,'6290'!$9:$9,'6290'!$10:$10,'6290'!$11:$11,'6290'!$12:$12,'6290'!$13:$13</definedName>
    <definedName name="QB_DATA_0" localSheetId="23" hidden="1">'6310'!$4:$4,'6310'!$5:$5,'6310'!$6:$6,'6310'!$7:$7,'6310'!$8:$8,'6310'!$9:$9,'6310'!$10:$10,'6310'!$11:$11,'6310'!$12:$12,'6310'!$13:$13,'6310'!$14:$14,'6310'!$15:$15,'6310'!$16:$16,'6310'!$17:$17,'6310'!$18:$18,'6310'!$19:$19</definedName>
    <definedName name="QB_DATA_0" localSheetId="24" hidden="1">'6320'!$4:$4,'6320'!$5:$5,'6320'!$6:$6,'6320'!$7:$7,'6320'!$8:$8,'6320'!$9:$9,'6320'!$10:$10</definedName>
    <definedName name="QB_DATA_0" localSheetId="25" hidden="1">'6330'!$4:$4,'6330'!$5:$5,'6330'!$6:$6,'6330'!$7:$7,'6330'!$8:$8,'6330'!$9:$9,'6330'!$10:$10,'6330'!$11:$11,'6330'!$12:$12</definedName>
    <definedName name="QB_DATA_0" localSheetId="26" hidden="1">'6340'!$4:$4,'6340'!$5:$5,'6340'!$6:$6,'6340'!$7:$7,'6340'!$8:$8,'6340'!$9:$9,'6340'!$10:$10,'6340'!$11:$11,'6340'!$12:$12,'6340'!$13:$13,'6340'!$14:$14,'6340'!$15:$15,'6340'!$16:$16,'6340'!$17:$17,'6340'!$18:$18,'6340'!$19:$19</definedName>
    <definedName name="QB_DATA_0" localSheetId="27" hidden="1">'6350'!$4:$4,'6350'!$5:$5,'6350'!$6:$6</definedName>
    <definedName name="QB_DATA_0" localSheetId="28" hidden="1">'6810'!$4:$4,'6810'!$5:$5,'6810'!$6:$6,'6810'!$7:$7,'6810'!$8:$8,'6810'!$9:$9,'6810'!$10:$10,'6810'!$11:$11,'6810'!$12:$12,'6810'!$13:$13</definedName>
    <definedName name="QB_DATA_0" localSheetId="29" hidden="1">'8010'!$4:$4,'8010'!$5:$5,'8010'!$6:$6,'8010'!$7:$7,'8010'!$8:$8,'8010'!$9:$9,'8010'!$10:$10,'8010'!$11:$11,'8010'!$12:$12,'8010'!$13:$13,'8010'!$14:$14,'8010'!$15:$15,'8010'!$16:$16,'8010'!$17:$17,'8010'!$18:$18,'8010'!$19:$19</definedName>
    <definedName name="QB_DATA_1" localSheetId="5" hidden="1">'6110'!$20:$20,'6110'!$21:$21,'6110'!$22:$22,'6110'!$23:$23,'6110'!$24:$24,'6110'!$25:$25,'6110'!$26:$26,'6110'!$27:$27,'6110'!$28:$28,'6110'!$29:$29,'6110'!$30:$30,'6110'!$31:$31,'6110'!$32:$32,'6110'!$33:$33,'6110'!$34:$34,'6110'!$35:$35</definedName>
    <definedName name="QB_DATA_1" localSheetId="6" hidden="1">'6120'!$20:$20,'6120'!$21:$21,'6120'!$22:$22,'6120'!$23:$23,'6120'!$24:$24,'6120'!$25:$25,'6120'!$26:$26,'6120'!$27:$27,'6120'!$28:$28,'6120'!$29:$29,'6120'!$30:$30,'6120'!$31:$31,'6120'!$32:$32,'6120'!$33:$33,'6120'!$34:$34,'6120'!$35:$35</definedName>
    <definedName name="QB_DATA_1" localSheetId="7" hidden="1">'6130'!$20:$20,'6130'!$21:$21,'6130'!$22:$22,'6130'!$23:$23,'6130'!$24:$24,'6130'!$25:$25,'6130'!$26:$26,'6130'!$27:$27,'6130'!$28:$28,'6130'!$29:$29,'6130'!$30:$30,'6130'!$31:$31,'6130'!$32:$32,'6130'!$33:$33,'6130'!$34:$34,'6130'!$35:$35</definedName>
    <definedName name="QB_DATA_1" localSheetId="8" hidden="1">'6140'!$20:$20</definedName>
    <definedName name="QB_DATA_1" localSheetId="9" hidden="1">'6150'!$20:$20,'6150'!$21:$21,'6150'!$22:$22,'6150'!$23:$23,'6150'!$24:$24,'6150'!$25:$25,'6150'!$26:$26,'6150'!$27:$27,'6150'!$28:$28,'6150'!$29:$29,'6150'!$30:$30,'6150'!$31:$31,'6150'!$32:$32,'6150'!$33:$33,'6150'!$34:$34,'6150'!$35:$35</definedName>
    <definedName name="QB_DATA_1" localSheetId="10" hidden="1">'6160'!$20:$20,'6160'!$21:$21,'6160'!$22:$22,'6160'!$23:$23,'6160'!$24:$24,'6160'!$25:$25,'6160'!$26:$26,'6160'!$27:$27,'6160'!$28:$28,'6160'!$29:$29,'6160'!$30:$30,'6160'!$31:$31,'6160'!$32:$32,'6160'!$33:$33,'6160'!$34:$34,'6160'!$35:$35</definedName>
    <definedName name="QB_DATA_1" localSheetId="11" hidden="1">'6210'!$20:$20,'6210'!$21:$21,'6210'!$22:$22,'6210'!$23:$23,'6210'!$24:$24,'6210'!$25:$25,'6210'!$26:$26,'6210'!$27:$27,'6210'!$28:$28,'6210'!$29:$29,'6210'!$30:$30,'6210'!$31:$31,'6210'!$32:$32,'6210'!$33:$33,'6210'!$34:$34,'6210'!$35:$35</definedName>
    <definedName name="QB_DATA_1" localSheetId="12" hidden="1">'6215'!$20:$20,'6215'!$21:$21,'6215'!$22:$22,'6215'!$23:$23,'6215'!$24:$24,'6215'!$25:$25,'6215'!$26:$26,'6215'!$27:$27,'6215'!$28:$28,'6215'!$29:$29,'6215'!$30:$30,'6215'!$31:$31,'6215'!$32:$32,'6215'!$33:$33,'6215'!$34:$34,'6215'!$35:$35</definedName>
    <definedName name="QB_DATA_1" localSheetId="13" hidden="1">'6220'!$20:$20,'6220'!$21:$21,'6220'!$22:$22,'6220'!$23:$23,'6220'!$24:$24,'6220'!$25:$25,'6220'!$26:$26,'6220'!$27:$27,'6220'!$28:$28,'6220'!$29:$29,'6220'!$30:$30,'6220'!$31:$31,'6220'!$32:$32,'6220'!$33:$33,'6220'!$34:$34,'6220'!$35:$35</definedName>
    <definedName name="QB_DATA_1" localSheetId="14" hidden="1">'6225'!$20:$20,'6225'!$21:$21,'6225'!$22:$22,'6225'!$23:$23,'6225'!$24:$24,'6225'!$25:$25,'6225'!$26:$26,'6225'!$27:$27,'6225'!$28:$28,'6225'!$29:$29,'6225'!$30:$30,'6225'!$31:$31,'6225'!$32:$32,'6225'!$33:$33,'6225'!$34:$34,'6225'!$35:$35</definedName>
    <definedName name="QB_DATA_1" localSheetId="15" hidden="1">'6235'!$20:$20,'6235'!$21:$21,'6235'!$22:$22,'6235'!$23:$23,'6235'!$24:$24,'6235'!$25:$25,'6235'!$26:$26,'6235'!$27:$27,'6235'!$28:$28,'6235'!$29:$29</definedName>
    <definedName name="QB_DATA_1" localSheetId="16" hidden="1">'6236'!$20:$20,'6236'!$21:$21,'6236'!$22:$22,'6236'!$23:$23,'6236'!$24:$24,'6236'!$25:$25</definedName>
    <definedName name="QB_DATA_1" localSheetId="17" hidden="1">'6240'!$20:$20,'6240'!$21:$21,'6240'!$22:$22,'6240'!$23:$23,'6240'!$24:$24,'6240'!$25:$25,'6240'!$26:$26,'6240'!$27:$27,'6240'!$28:$28,'6240'!$29:$29,'6240'!$30:$30,'6240'!$31:$31,'6240'!$32:$32,'6240'!$33:$33,'6240'!$34:$34,'6240'!$35:$35</definedName>
    <definedName name="QB_DATA_1" localSheetId="19" hidden="1">'6260'!$20:$20,'6260'!$21:$21,'6260'!$22:$22,'6260'!$23:$23,'6260'!$24:$24,'6260'!$25:$25,'6260'!$26:$26,'6260'!$27:$27,'6260'!$28:$28,'6260'!$29:$29,'6260'!$30:$30,'6260'!$31:$31,'6260'!$32:$32,'6260'!$33:$33,'6260'!$34:$34,'6260'!$35:$35</definedName>
    <definedName name="QB_DATA_1" localSheetId="20" hidden="1">'6280'!$20:$20,'6280'!$21:$21,'6280'!$22:$22,'6280'!$23:$23,'6280'!$24:$24,'6280'!$25:$25,'6280'!$26:$26,'6280'!$27:$27,'6280'!$28:$28,'6280'!$29:$29,'6280'!$30:$30,'6280'!$31:$31,'6280'!$32:$32,'6280'!$33:$33,'6280'!$34:$34,'6280'!$35:$35</definedName>
    <definedName name="QB_DATA_1" localSheetId="21" hidden="1">'6285'!$20:$20,'6285'!$21:$21,'6285'!$22:$22,'6285'!$23:$23,'6285'!$24:$24,'6285'!$25:$25,'6285'!$26:$26,'6285'!$27:$27,'6285'!$28:$28,'6285'!$29:$29,'6285'!$30:$30,'6285'!$31:$31,'6285'!$32:$32,'6285'!$33:$33,'6285'!$34:$34,'6285'!$35:$35</definedName>
    <definedName name="QB_DATA_1" localSheetId="23" hidden="1">'6310'!$20:$20,'6310'!$21:$21,'6310'!$22:$22,'6310'!$23:$23,'6310'!$24:$24,'6310'!$25:$25,'6310'!$26:$26,'6310'!$27:$27,'6310'!$28:$28,'6310'!$29:$29,'6310'!$30:$30,'6310'!$31:$31,'6310'!$32:$32,'6310'!$33:$33,'6310'!$34:$34,'6310'!$35:$35</definedName>
    <definedName name="QB_DATA_1" localSheetId="26" hidden="1">'6340'!$20:$20,'6340'!$21:$21,'6340'!$22:$22,'6340'!$23:$23,'6340'!$24:$24,'6340'!$25:$25,'6340'!$26:$26,'6340'!$27:$27,'6340'!$28:$28,'6340'!$29:$29,'6340'!$30:$30,'6340'!$31:$31,'6340'!$32:$32,'6340'!$33:$33,'6340'!$34:$34,'6340'!$35:$35</definedName>
    <definedName name="QB_DATA_1" localSheetId="29" hidden="1">'8010'!$20:$20</definedName>
    <definedName name="QB_DATA_10" localSheetId="11" hidden="1">'6210'!$164:$164,'6210'!$165:$165,'6210'!$166:$166,'6210'!$167:$167,'6210'!$168:$168,'6210'!$169:$169,'6210'!$170:$170,'6210'!$171:$171,'6210'!$172:$172,'6210'!$173:$173,'6210'!$174:$174,'6210'!$175:$175,'6210'!$176:$176,'6210'!$177:$177,'6210'!$178:$178,'6210'!$179:$179</definedName>
    <definedName name="QB_DATA_10" localSheetId="14" hidden="1">'6225'!$164:$164,'6225'!$165:$165,'6225'!$166:$166,'6225'!$167:$167,'6225'!$168:$168,'6225'!$169:$169,'6225'!$170:$170,'6225'!$171:$171,'6225'!$172:$172,'6225'!$173:$173,'6225'!$174:$174,'6225'!$175:$175,'6225'!$176:$176,'6225'!$177:$177,'6225'!$178:$178,'6225'!$179:$179</definedName>
    <definedName name="QB_DATA_11" localSheetId="11" hidden="1">'6210'!$180:$180,'6210'!$181:$181,'6210'!$182:$182,'6210'!$183:$183,'6210'!$184:$184,'6210'!$185:$185,'6210'!$186:$186,'6210'!$187:$187,'6210'!$188:$188,'6210'!$189:$189,'6210'!$190:$190,'6210'!$191:$191,'6210'!$192:$192,'6210'!$193:$193,'6210'!$194:$194,'6210'!$195:$195</definedName>
    <definedName name="QB_DATA_11" localSheetId="14" hidden="1">'6225'!$180:$180,'6225'!$181:$181,'6225'!$182:$182,'6225'!$183:$183,'6225'!$184:$184,'6225'!$185:$185,'6225'!$186:$186,'6225'!$187:$187,'6225'!$188:$188,'6225'!$189:$189,'6225'!$190:$190,'6225'!$191:$191,'6225'!$192:$192,'6225'!$193:$193,'6225'!$194:$194,'6225'!$195:$195</definedName>
    <definedName name="QB_DATA_12" localSheetId="11" hidden="1">'6210'!$196:$196,'6210'!$197:$197,'6210'!$198:$198,'6210'!$199:$199,'6210'!$200:$200,'6210'!$201:$201,'6210'!$202:$202,'6210'!$203:$203,'6210'!$204:$204,'6210'!$205:$205,'6210'!$206:$206,'6210'!$207:$207,'6210'!$208:$208,'6210'!$209:$209,'6210'!$210:$210,'6210'!$211:$211</definedName>
    <definedName name="QB_DATA_12" localSheetId="14" hidden="1">'6225'!$196:$196,'6225'!$197:$197,'6225'!$198:$198,'6225'!$199:$199,'6225'!$200:$200,'6225'!$201:$201,'6225'!$202:$202,'6225'!$203:$203,'6225'!$204:$204,'6225'!$205:$205,'6225'!$206:$206,'6225'!$207:$207</definedName>
    <definedName name="QB_DATA_13" localSheetId="11" hidden="1">'6210'!$212:$212,'6210'!$213:$213,'6210'!$214:$214,'6210'!$215:$215,'6210'!$216:$216,'6210'!$217:$217,'6210'!$218:$218,'6210'!$219:$219,'6210'!$220:$220,'6210'!$221:$221,'6210'!$222:$222,'6210'!$223:$223,'6210'!$224:$224,'6210'!$225:$225,'6210'!$226:$226,'6210'!$227:$227</definedName>
    <definedName name="QB_DATA_14" localSheetId="11" hidden="1">'6210'!$228:$228,'6210'!$229:$229,'6210'!$230:$230,'6210'!$231:$231,'6210'!$232:$232,'6210'!$233:$233,'6210'!$234:$234,'6210'!$235:$235,'6210'!$236:$236,'6210'!$237:$237,'6210'!$238:$238,'6210'!$239:$239,'6210'!$240:$240,'6210'!$241:$241,'6210'!$242:$242,'6210'!$243:$243</definedName>
    <definedName name="QB_DATA_15" localSheetId="11" hidden="1">'6210'!$244:$244,'6210'!$245:$245,'6210'!$246:$246,'6210'!$247:$247,'6210'!$248:$248,'6210'!$249:$249,'6210'!$250:$250,'6210'!$251:$251,'6210'!$252:$252,'6210'!$253:$253,'6210'!$254:$254,'6210'!$255:$255,'6210'!$256:$256,'6210'!$257:$257,'6210'!$258:$258,'6210'!$259:$259</definedName>
    <definedName name="QB_DATA_16" localSheetId="11" hidden="1">'6210'!$260:$260,'6210'!$261:$261,'6210'!$262:$262,'6210'!$263:$263,'6210'!$264:$264,'6210'!$265:$265,'6210'!$266:$266,'6210'!$267:$267,'6210'!$268:$268,'6210'!$269:$269,'6210'!$270:$270,'6210'!$271:$271,'6210'!$272:$272,'6210'!$273:$273,'6210'!$274:$274,'6210'!$275:$275</definedName>
    <definedName name="QB_DATA_17" localSheetId="11" hidden="1">'6210'!$276:$276,'6210'!$277:$277,'6210'!$278:$278,'6210'!$279:$279,'6210'!$280:$280,'6210'!$281:$281,'6210'!$282:$282,'6210'!$283:$283,'6210'!$284:$284,'6210'!$285:$285,'6210'!$286:$286,'6210'!$287:$287,'6210'!$288:$288,'6210'!$289:$289,'6210'!$290:$290,'6210'!$291:$291</definedName>
    <definedName name="QB_DATA_18" localSheetId="11" hidden="1">'6210'!$292:$292,'6210'!$293:$293,'6210'!$294:$294,'6210'!$295:$295,'6210'!$296:$296,'6210'!$297:$297,'6210'!$298:$298,'6210'!$299:$299,'6210'!$300:$300,'6210'!$301:$301,'6210'!$302:$302,'6210'!$303:$303,'6210'!$304:$304,'6210'!$305:$305,'6210'!$306:$306,'6210'!$307:$307</definedName>
    <definedName name="QB_DATA_19" localSheetId="11" hidden="1">'6210'!$308:$308,'6210'!$309:$309,'6210'!$310:$310,'6210'!$311:$311,'6210'!$312:$312,'6210'!$313:$313,'6210'!$314:$314,'6210'!$315:$315,'6210'!$316:$316,'6210'!$317:$317,'6210'!$318:$318,'6210'!$319:$319,'6210'!$320:$320,'6210'!$321:$321,'6210'!$322:$322,'6210'!$323:$323</definedName>
    <definedName name="QB_DATA_2" localSheetId="5" hidden="1">'6110'!$36:$36,'6110'!$37:$37,'6110'!$38:$38,'6110'!$39:$39,'6110'!$40:$40,'6110'!$41:$41,'6110'!$42:$42,'6110'!$43:$43,'6110'!$44:$44,'6110'!$45:$45,'6110'!$46:$46,'6110'!$47:$47,'6110'!$48:$48,'6110'!$49:$49,'6110'!$50:$50,'6110'!$51:$51</definedName>
    <definedName name="QB_DATA_2" localSheetId="6" hidden="1">'6120'!$36:$36,'6120'!$37:$37,'6120'!$38:$38,'6120'!$39:$39,'6120'!$40:$40,'6120'!$41:$41,'6120'!$42:$42,'6120'!$43:$43,'6120'!$44:$44,'6120'!$45:$45,'6120'!$46:$46,'6120'!$47:$47,'6120'!$48:$48,'6120'!$49:$49,'6120'!$50:$50,'6120'!$51:$51</definedName>
    <definedName name="QB_DATA_2" localSheetId="7" hidden="1">'6130'!$36:$36,'6130'!$37:$37,'6130'!$38:$38,'6130'!$39:$39,'6130'!$40:$40,'6130'!$41:$41,'6130'!$42:$42,'6130'!$43:$43,'6130'!$44:$44,'6130'!$45:$45,'6130'!$46:$46,'6130'!$47:$47,'6130'!$48:$48,'6130'!$49:$49,'6130'!$50:$50,'6130'!$51:$51</definedName>
    <definedName name="QB_DATA_2" localSheetId="9" hidden="1">'6150'!$36:$36,'6150'!$37:$37,'6150'!$38:$38,'6150'!$39:$39,'6150'!$40:$40,'6150'!$41:$41,'6150'!$42:$42,'6150'!$43:$43,'6150'!$44:$44,'6150'!$45:$45,'6150'!$46:$46,'6150'!$47:$47,'6150'!$48:$48,'6150'!$49:$49,'6150'!$50:$50,'6150'!$51:$51</definedName>
    <definedName name="QB_DATA_2" localSheetId="10" hidden="1">'6160'!$36:$36,'6160'!$37:$37,'6160'!$38:$38,'6160'!$39:$39,'6160'!$40:$40,'6160'!$41:$41,'6160'!$42:$42,'6160'!$43:$43,'6160'!$44:$44,'6160'!$45:$45,'6160'!$46:$46,'6160'!$47:$47,'6160'!$48:$48,'6160'!$49:$49,'6160'!$50:$50</definedName>
    <definedName name="QB_DATA_2" localSheetId="11" hidden="1">'6210'!$36:$36,'6210'!$37:$37,'6210'!$38:$38,'6210'!$39:$39,'6210'!$40:$40,'6210'!$41:$41,'6210'!$42:$42,'6210'!$43:$43,'6210'!$44:$44,'6210'!$45:$45,'6210'!$46:$46,'6210'!$47:$47,'6210'!$48:$48,'6210'!$49:$49,'6210'!$50:$50,'6210'!$51:$51</definedName>
    <definedName name="QB_DATA_2" localSheetId="12" hidden="1">'6215'!$36:$36,'6215'!$37:$37,'6215'!$38:$38,'6215'!$39:$39,'6215'!$40:$40</definedName>
    <definedName name="QB_DATA_2" localSheetId="13" hidden="1">'6220'!$36:$36,'6220'!$37:$37,'6220'!$38:$38,'6220'!$39:$39,'6220'!$40:$40,'6220'!$41:$41,'6220'!$42:$42,'6220'!$43:$43,'6220'!$44:$44,'6220'!$45:$45,'6220'!$46:$46,'6220'!$47:$47,'6220'!$48:$48,'6220'!$49:$49,'6220'!$50:$50,'6220'!$51:$51</definedName>
    <definedName name="QB_DATA_2" localSheetId="14" hidden="1">'6225'!$36:$36,'6225'!$37:$37,'6225'!$38:$38,'6225'!$39:$39,'6225'!$40:$40,'6225'!$41:$41,'6225'!$42:$42,'6225'!$43:$43,'6225'!$44:$44,'6225'!$45:$45,'6225'!$46:$46,'6225'!$47:$47,'6225'!$48:$48,'6225'!$49:$49,'6225'!$50:$50,'6225'!$51:$51</definedName>
    <definedName name="QB_DATA_2" localSheetId="17" hidden="1">'6240'!$36:$36,'6240'!$37:$37,'6240'!$38:$38,'6240'!$39:$39,'6240'!$40:$40,'6240'!$41:$41,'6240'!$42:$42,'6240'!$43:$43,'6240'!$44:$44,'6240'!$45:$45,'6240'!$46:$46,'6240'!$47:$47,'6240'!$48:$48,'6240'!$49:$49,'6240'!$50:$50,'6240'!$51:$51</definedName>
    <definedName name="QB_DATA_2" localSheetId="19" hidden="1">'6260'!$36:$36,'6260'!$37:$37,'6260'!$38:$38,'6260'!$39:$39,'6260'!$40:$40,'6260'!$41:$41,'6260'!$42:$42,'6260'!$43:$43,'6260'!$44:$44,'6260'!$45:$45,'6260'!$46:$46,'6260'!$47:$47,'6260'!$48:$48,'6260'!$49:$49,'6260'!$50:$50,'6260'!$51:$51</definedName>
    <definedName name="QB_DATA_2" localSheetId="20" hidden="1">'6280'!$36:$36,'6280'!$37:$37,'6280'!$38:$38,'6280'!$39:$39,'6280'!$40:$40,'6280'!$41:$41,'6280'!$42:$42,'6280'!$43:$43,'6280'!$44:$44,'6280'!$45:$45,'6280'!$46:$46,'6280'!$47:$47,'6280'!$48:$48,'6280'!$49:$49,'6280'!$50:$50,'6280'!$51:$51</definedName>
    <definedName name="QB_DATA_2" localSheetId="21" hidden="1">'6285'!$36:$36,'6285'!$37:$37,'6285'!$38:$38,'6285'!$39:$39,'6285'!$40:$40,'6285'!$41:$41,'6285'!$42:$42,'6285'!$43:$43,'6285'!$44:$44,'6285'!$45:$45,'6285'!$46:$46,'6285'!$47:$47,'6285'!$48:$48,'6285'!$49:$49,'6285'!$50:$50,'6285'!$51:$51</definedName>
    <definedName name="QB_DATA_2" localSheetId="23" hidden="1">'6310'!$36:$36,'6310'!$37:$37,'6310'!$38:$38,'6310'!$39:$39,'6310'!$40:$40,'6310'!$41:$41,'6310'!$42:$42,'6310'!$43:$43,'6310'!$44:$44,'6310'!$45:$45,'6310'!$46:$46,'6310'!$47:$47,'6310'!$48:$48,'6310'!$49:$49,'6310'!$50:$50,'6310'!$51:$51</definedName>
    <definedName name="QB_DATA_2" localSheetId="26" hidden="1">'6340'!$36:$36,'6340'!$37:$37</definedName>
    <definedName name="QB_DATA_20" localSheetId="11" hidden="1">'6210'!$324:$324,'6210'!$325:$325,'6210'!$326:$326,'6210'!$327:$327,'6210'!$328:$328,'6210'!$329:$329,'6210'!$330:$330,'6210'!$331:$331,'6210'!$332:$332,'6210'!$333:$333,'6210'!$334:$334,'6210'!$335:$335,'6210'!$336:$336,'6210'!$337:$337,'6210'!$338:$338,'6210'!$339:$339</definedName>
    <definedName name="QB_DATA_21" localSheetId="11" hidden="1">'6210'!$340:$340,'6210'!$341:$341,'6210'!$342:$342,'6210'!$343:$343,'6210'!$344:$344,'6210'!$345:$345,'6210'!$346:$346,'6210'!$347:$347,'6210'!$348:$348,'6210'!$349:$349,'6210'!$350:$350,'6210'!$351:$351,'6210'!$352:$352,'6210'!$353:$353,'6210'!$354:$354,'6210'!$355:$355</definedName>
    <definedName name="QB_DATA_22" localSheetId="11" hidden="1">'6210'!$356:$356,'6210'!$357:$357,'6210'!$358:$358,'6210'!$359:$359,'6210'!$360:$360,'6210'!$361:$361,'6210'!$362:$362,'6210'!$363:$363,'6210'!$364:$364,'6210'!$365:$365,'6210'!$366:$366,'6210'!$367:$367,'6210'!$368:$368,'6210'!$369:$369,'6210'!$370:$370,'6210'!$371:$371</definedName>
    <definedName name="QB_DATA_23" localSheetId="11" hidden="1">'6210'!$372:$372,'6210'!$373:$373,'6210'!$374:$374,'6210'!$375:$375,'6210'!$376:$376,'6210'!$377:$377,'6210'!$378:$378,'6210'!$379:$379,'6210'!$380:$380,'6210'!$381:$381,'6210'!$382:$382,'6210'!$383:$383,'6210'!$384:$384,'6210'!$385:$385,'6210'!$386:$386,'6210'!$387:$387</definedName>
    <definedName name="QB_DATA_24" localSheetId="11" hidden="1">'6210'!$388:$388,'6210'!$389:$389,'6210'!$390:$390,'6210'!$391:$391,'6210'!$392:$392,'6210'!$393:$393,'6210'!$394:$394,'6210'!$395:$395,'6210'!$396:$396,'6210'!$397:$397,'6210'!$398:$398,'6210'!$399:$399,'6210'!$400:$400,'6210'!$401:$401,'6210'!$402:$402,'6210'!$403:$403</definedName>
    <definedName name="QB_DATA_25" localSheetId="11" hidden="1">'6210'!$404:$404,'6210'!$405:$405,'6210'!$406:$406,'6210'!$407:$407,'6210'!$408:$408,'6210'!$409:$409,'6210'!$410:$410,'6210'!$411:$411,'6210'!$412:$412,'6210'!$413:$413,'6210'!$414:$414,'6210'!$415:$415,'6210'!$416:$416,'6210'!$417:$417,'6210'!$418:$418,'6210'!$419:$419</definedName>
    <definedName name="QB_DATA_26" localSheetId="11" hidden="1">'6210'!$420:$420,'6210'!$421:$421,'6210'!$422:$422,'6210'!$423:$423,'6210'!$424:$424,'6210'!$425:$425,'6210'!$426:$426,'6210'!$427:$427,'6210'!$428:$428,'6210'!$429:$429,'6210'!$430:$430,'6210'!$431:$431,'6210'!$432:$432,'6210'!$433:$433,'6210'!$434:$434,'6210'!$435:$435</definedName>
    <definedName name="QB_DATA_27" localSheetId="11" hidden="1">'6210'!$436:$436,'6210'!$437:$437,'6210'!$438:$438,'6210'!$439:$439,'6210'!$440:$440,'6210'!$441:$441,'6210'!$442:$442,'6210'!$443:$443,'6210'!$444:$444,'6210'!$445:$445,'6210'!$446:$446,'6210'!$447:$447,'6210'!$448:$448,'6210'!$449:$449,'6210'!$450:$450,'6210'!$451:$451</definedName>
    <definedName name="QB_DATA_28" localSheetId="11" hidden="1">'6210'!$452:$452,'6210'!$453:$453,'6210'!$454:$454,'6210'!$455:$455,'6210'!$456:$456,'6210'!$457:$457,'6210'!$458:$458,'6210'!$459:$459</definedName>
    <definedName name="QB_DATA_3" localSheetId="5" hidden="1">'6110'!$52:$52,'6110'!$53:$53,'6110'!$54:$54,'6110'!$55:$55,'6110'!$56:$56,'6110'!$57:$57,'6110'!$58:$58,'6110'!$59:$59,'6110'!$60:$60,'6110'!$61:$61,'6110'!$62:$62,'6110'!$63:$63,'6110'!$64:$64,'6110'!$65:$65,'6110'!$66:$66,'6110'!$67:$67</definedName>
    <definedName name="QB_DATA_3" localSheetId="6" hidden="1">'6120'!$52:$52,'6120'!$53:$53,'6120'!$54:$54</definedName>
    <definedName name="QB_DATA_3" localSheetId="7" hidden="1">'6130'!$52:$52,'6130'!$53:$53,'6130'!$54:$54,'6130'!$55:$55,'6130'!$56:$56,'6130'!$57:$57,'6130'!$58:$58,'6130'!$59:$59,'6130'!$60:$60,'6130'!$61:$61,'6130'!$62:$62,'6130'!$63:$63,'6130'!$64:$64,'6130'!$65:$65,'6130'!$66:$66,'6130'!$67:$67</definedName>
    <definedName name="QB_DATA_3" localSheetId="9" hidden="1">'6150'!$52:$52,'6150'!$53:$53,'6150'!$54:$54,'6150'!$55:$55,'6150'!$56:$56,'6150'!$57:$57,'6150'!$58:$58,'6150'!$59:$59,'6150'!$60:$60,'6150'!$61:$61,'6150'!$62:$62,'6150'!$63:$63,'6150'!$64:$64,'6150'!$65:$65,'6150'!$66:$66,'6150'!$67:$67</definedName>
    <definedName name="QB_DATA_3" localSheetId="11" hidden="1">'6210'!$52:$52,'6210'!$53:$53,'6210'!$54:$54,'6210'!$55:$55,'6210'!$56:$56,'6210'!$57:$57,'6210'!$58:$58,'6210'!$59:$59,'6210'!$60:$60,'6210'!$61:$61,'6210'!$62:$62,'6210'!$63:$63,'6210'!$64:$64,'6210'!$65:$65,'6210'!$66:$66,'6210'!$67:$67</definedName>
    <definedName name="QB_DATA_3" localSheetId="13" hidden="1">'6220'!$52:$52,'6220'!$53:$53,'6220'!$54:$54,'6220'!$55:$55,'6220'!$56:$56,'6220'!$57:$57,'6220'!$58:$58,'6220'!$59:$59,'6220'!$60:$60,'6220'!$61:$61,'6220'!$62:$62,'6220'!$63:$63,'6220'!$64:$64,'6220'!$65:$65,'6220'!$66:$66,'6220'!$67:$67</definedName>
    <definedName name="QB_DATA_3" localSheetId="14" hidden="1">'6225'!$52:$52,'6225'!$53:$53,'6225'!$54:$54,'6225'!$55:$55,'6225'!$56:$56,'6225'!$57:$57,'6225'!$58:$58,'6225'!$59:$59,'6225'!$60:$60,'6225'!$61:$61,'6225'!$62:$62,'6225'!$63:$63,'6225'!$64:$64,'6225'!$65:$65,'6225'!$66:$66,'6225'!$67:$67</definedName>
    <definedName name="QB_DATA_3" localSheetId="17" hidden="1">'6240'!$52:$52,'6240'!$53:$53,'6240'!$54:$54,'6240'!$55:$55,'6240'!$56:$56,'6240'!$57:$57</definedName>
    <definedName name="QB_DATA_3" localSheetId="19" hidden="1">'6260'!$52:$52,'6260'!$53:$53,'6260'!$54:$54,'6260'!$55:$55,'6260'!$56:$56,'6260'!$57:$57,'6260'!$58:$58,'6260'!$59:$59,'6260'!$60:$60,'6260'!$61:$61,'6260'!$62:$62,'6260'!$63:$63,'6260'!$64:$64,'6260'!$65:$65,'6260'!$66:$66,'6260'!$67:$67</definedName>
    <definedName name="QB_DATA_3" localSheetId="20" hidden="1">'6280'!$52:$52,'6280'!$53:$53,'6280'!$54:$54,'6280'!$55:$55,'6280'!$56:$56,'6280'!$57:$57,'6280'!$58:$58,'6280'!$59:$59,'6280'!$60:$60,'6280'!$61:$61,'6280'!$62:$62,'6280'!$63:$63,'6280'!$64:$64,'6280'!$65:$65,'6280'!$66:$66,'6280'!$67:$67</definedName>
    <definedName name="QB_DATA_3" localSheetId="21" hidden="1">'6285'!$52:$52,'6285'!$53:$53,'6285'!$54:$54,'6285'!$55:$55,'6285'!$56:$56,'6285'!$57:$57,'6285'!$58:$58,'6285'!$59:$59,'6285'!$60:$60,'6285'!$61:$61,'6285'!$62:$62,'6285'!$63:$63,'6285'!$64:$64,'6285'!$65:$65,'6285'!$66:$66,'6285'!$67:$67</definedName>
    <definedName name="QB_DATA_3" localSheetId="23" hidden="1">'6310'!$52:$52,'6310'!$53:$53,'6310'!$54:$54,'6310'!$55:$55,'6310'!$56:$56,'6310'!$57:$57,'6310'!$58:$58,'6310'!$59:$59,'6310'!$60:$60,'6310'!$61:$61,'6310'!$62:$62,'6310'!$63:$63,'6310'!$64:$64,'6310'!$65:$65,'6310'!$66:$66,'6310'!$67:$67</definedName>
    <definedName name="QB_DATA_4" localSheetId="5" hidden="1">'6110'!$68:$68,'6110'!$69:$69,'6110'!$70:$70,'6110'!$71:$71,'6110'!$72:$72,'6110'!$73:$73,'6110'!$74:$74,'6110'!$75:$75,'6110'!$76:$76,'6110'!$77:$77,'6110'!$78:$78,'6110'!$79:$79,'6110'!$80:$80,'6110'!$81:$81,'6110'!$82:$82,'6110'!$83:$83</definedName>
    <definedName name="QB_DATA_4" localSheetId="7" hidden="1">'6130'!$68:$68,'6130'!$69:$69,'6130'!$70:$70,'6130'!$71:$71,'6130'!$72:$72,'6130'!$73:$73,'6130'!$74:$74,'6130'!$75:$75,'6130'!$76:$76,'6130'!$77:$77,'6130'!$78:$78,'6130'!$79:$79,'6130'!$80:$80,'6130'!$81:$81,'6130'!$82:$82,'6130'!$83:$83</definedName>
    <definedName name="QB_DATA_4" localSheetId="9" hidden="1">'6150'!$68:$68,'6150'!$69:$69,'6150'!$70:$70,'6150'!$71:$71,'6150'!$72:$72,'6150'!$73:$73,'6150'!$74:$74,'6150'!$75:$75,'6150'!$76:$76,'6150'!$77:$77,'6150'!$78:$78,'6150'!$79:$79,'6150'!$80:$80,'6150'!$81:$81,'6150'!$82:$82,'6150'!$83:$83</definedName>
    <definedName name="QB_DATA_4" localSheetId="11" hidden="1">'6210'!$68:$68,'6210'!$69:$69,'6210'!$70:$70,'6210'!$71:$71,'6210'!$72:$72,'6210'!$73:$73,'6210'!$74:$74,'6210'!$75:$75,'6210'!$76:$76,'6210'!$77:$77,'6210'!$78:$78,'6210'!$79:$79,'6210'!$80:$80,'6210'!$81:$81,'6210'!$82:$82,'6210'!$83:$83</definedName>
    <definedName name="QB_DATA_4" localSheetId="13" hidden="1">'6220'!$68:$68,'6220'!$69:$69,'6220'!$70:$70,'6220'!$71:$71,'6220'!$72:$72,'6220'!$73:$73,'6220'!$74:$74,'6220'!$75:$75,'6220'!$76:$76,'6220'!$77:$77,'6220'!$78:$78,'6220'!$79:$79,'6220'!$80:$80,'6220'!$81:$81,'6220'!$82:$82,'6220'!$83:$83</definedName>
    <definedName name="QB_DATA_4" localSheetId="14" hidden="1">'6225'!$68:$68,'6225'!$69:$69,'6225'!$70:$70,'6225'!$71:$71,'6225'!$72:$72,'6225'!$73:$73,'6225'!$74:$74,'6225'!$75:$75,'6225'!$76:$76,'6225'!$77:$77,'6225'!$78:$78,'6225'!$79:$79,'6225'!$80:$80,'6225'!$81:$81,'6225'!$82:$82,'6225'!$83:$83</definedName>
    <definedName name="QB_DATA_4" localSheetId="19" hidden="1">'6260'!$68:$68,'6260'!$69:$69,'6260'!$70:$70,'6260'!$71:$71,'6260'!$72:$72,'6260'!$73:$73,'6260'!$74:$74,'6260'!$75:$75,'6260'!$76:$76,'6260'!$77:$77,'6260'!$78:$78,'6260'!$79:$79,'6260'!$80:$80,'6260'!$81:$81,'6260'!$82:$82,'6260'!$83:$83</definedName>
    <definedName name="QB_DATA_4" localSheetId="20" hidden="1">'6280'!$68:$68,'6280'!$69:$69,'6280'!$70:$70,'6280'!$71:$71,'6280'!$72:$72,'6280'!$73:$73,'6280'!$74:$74,'6280'!$75:$75,'6280'!$76:$76,'6280'!$77:$77</definedName>
    <definedName name="QB_DATA_4" localSheetId="21" hidden="1">'6285'!$68:$68,'6285'!$69:$69,'6285'!$70:$70,'6285'!$71:$71,'6285'!$72:$72,'6285'!$73:$73,'6285'!$74:$74,'6285'!$75:$75,'6285'!$76:$76,'6285'!$77:$77,'6285'!$78:$78,'6285'!$79:$79,'6285'!$80:$80,'6285'!$81:$81,'6285'!$82:$82,'6285'!$83:$83</definedName>
    <definedName name="QB_DATA_4" localSheetId="23" hidden="1">'6310'!$68:$68,'6310'!$69:$69,'6310'!$70:$70,'6310'!$71:$71,'6310'!$72:$72,'6310'!$73:$73,'6310'!$74:$74,'6310'!$75:$75,'6310'!$76:$76,'6310'!$77:$77,'6310'!$78:$78,'6310'!$79:$79,'6310'!$80:$80,'6310'!$81:$81,'6310'!$82:$82,'6310'!$83:$83</definedName>
    <definedName name="QB_DATA_5" localSheetId="5" hidden="1">'6110'!$84:$84,'6110'!$85:$85,'6110'!$86:$86,'6110'!$87:$87,'6110'!$88:$88,'6110'!$89:$89,'6110'!$90:$90,'6110'!$91:$91,'6110'!$92:$92,'6110'!$93:$93,'6110'!$94:$94,'6110'!$95:$95,'6110'!$96:$96,'6110'!$97:$97,'6110'!$98:$98,'6110'!$99:$99</definedName>
    <definedName name="QB_DATA_5" localSheetId="7" hidden="1">'6130'!$84:$84,'6130'!$85:$85,'6130'!$86:$86,'6130'!$87:$87,'6130'!$88:$88,'6130'!$89:$89,'6130'!$90:$90,'6130'!$91:$91,'6130'!$92:$92,'6130'!$93:$93,'6130'!$94:$94,'6130'!$95:$95,'6130'!$96:$96,'6130'!$97:$97,'6130'!$98:$98,'6130'!$99:$99</definedName>
    <definedName name="QB_DATA_5" localSheetId="9" hidden="1">'6150'!$84:$84,'6150'!$85:$85,'6150'!$86:$86,'6150'!$87:$87,'6150'!$88:$88,'6150'!$89:$89,'6150'!$90:$90,'6150'!#REF!,'6150'!$91:$91</definedName>
    <definedName name="QB_DATA_5" localSheetId="11" hidden="1">'6210'!$84:$84,'6210'!$85:$85,'6210'!$86:$86,'6210'!$87:$87,'6210'!$88:$88,'6210'!$89:$89,'6210'!$90:$90,'6210'!$91:$91,'6210'!$92:$92,'6210'!$93:$93,'6210'!$94:$94,'6210'!$95:$95,'6210'!$96:$96,'6210'!$97:$97,'6210'!$98:$98,'6210'!$99:$99</definedName>
    <definedName name="QB_DATA_5" localSheetId="13" hidden="1">'6220'!$84:$84,'6220'!$85:$85,'6220'!$86:$86,'6220'!$87:$87,'6220'!$88:$88,'6220'!$89:$89,'6220'!$90:$90,'6220'!$91:$91,'6220'!$92:$92,'6220'!$93:$93,'6220'!$94:$94,'6220'!$95:$95,'6220'!$96:$96,'6220'!$97:$97,'6220'!$98:$98,'6220'!$99:$99</definedName>
    <definedName name="QB_DATA_5" localSheetId="14" hidden="1">'6225'!$84:$84,'6225'!$85:$85,'6225'!$86:$86,'6225'!$87:$87,'6225'!$88:$88,'6225'!$89:$89,'6225'!$90:$90,'6225'!$91:$91,'6225'!$92:$92,'6225'!$93:$93,'6225'!$94:$94,'6225'!$95:$95,'6225'!$96:$96,'6225'!$97:$97,'6225'!$98:$98,'6225'!$99:$99</definedName>
    <definedName name="QB_DATA_5" localSheetId="19" hidden="1">'6260'!$84:$84,'6260'!$85:$85,'6260'!$86:$86,'6260'!$87:$87,'6260'!$88:$88,'6260'!$89:$89,'6260'!$90:$90,'6260'!$91:$91,'6260'!$92:$92,'6260'!$93:$93,'6260'!$94:$94,'6260'!$95:$95,'6260'!$96:$96,'6260'!$97:$97,'6260'!$98:$98,'6260'!$99:$99</definedName>
    <definedName name="QB_DATA_5" localSheetId="21" hidden="1">'6285'!$84:$84,'6285'!$85:$85,'6285'!$86:$86,'6285'!$87:$87,'6285'!$88:$88,'6285'!$89:$89,'6285'!$90:$90,'6285'!$91:$91,'6285'!$92:$92,'6285'!$93:$93</definedName>
    <definedName name="QB_DATA_5" localSheetId="23" hidden="1">'6310'!$84:$84,'6310'!$85:$85,'6310'!$86:$86,'6310'!$87:$87,'6310'!$88:$88,'6310'!$89:$89,'6310'!$90:$90,'6310'!$91:$91,'6310'!$92:$92,'6310'!$93:$93,'6310'!$94:$94,'6310'!$95:$95,'6310'!$96:$96,'6310'!$97:$97,'6310'!$98:$98,'6310'!$99:$99</definedName>
    <definedName name="QB_DATA_6" localSheetId="5" hidden="1">'6110'!$100:$100,'6110'!$101:$101,'6110'!$102:$102,'6110'!$103:$103,'6110'!$104:$104,'6110'!$105:$105,'6110'!$106:$106,'6110'!$107:$107,'6110'!$108:$108,'6110'!$109:$109,'6110'!$110:$110,'6110'!$111:$111,'6110'!$112:$112,'6110'!$113:$113,'6110'!$114:$114,'6110'!$115:$115</definedName>
    <definedName name="QB_DATA_6" localSheetId="7" hidden="1">'6130'!$100:$100,'6130'!$101:$101,'6130'!$102:$102,'6130'!$103:$103,'6130'!$104:$104,'6130'!$105:$105,'6130'!$106:$106,'6130'!$107:$107,'6130'!$108:$108,'6130'!$109:$109,'6130'!$110:$110,'6130'!$111:$111,'6130'!$112:$112,'6130'!$113:$113,'6130'!$114:$114,'6130'!$115:$115</definedName>
    <definedName name="QB_DATA_6" localSheetId="11" hidden="1">'6210'!$100:$100,'6210'!$101:$101,'6210'!$102:$102,'6210'!$103:$103,'6210'!$104:$104,'6210'!$105:$105,'6210'!$106:$106,'6210'!$107:$107,'6210'!$108:$108,'6210'!$109:$109,'6210'!$110:$110,'6210'!$111:$111,'6210'!$112:$112,'6210'!$113:$113,'6210'!$114:$114,'6210'!$115:$115</definedName>
    <definedName name="QB_DATA_6" localSheetId="13" hidden="1">'6220'!$100:$100,'6220'!$101:$101,'6220'!$102:$102,'6220'!$103:$103,'6220'!$104:$104,'6220'!$105:$105,'6220'!$106:$106,'6220'!$107:$107,'6220'!$108:$108,'6220'!$109:$109,'6220'!$110:$110,'6220'!$111:$111,'6220'!$112:$112,'6220'!$113:$113,'6220'!$114:$114,'6220'!$115:$115</definedName>
    <definedName name="QB_DATA_6" localSheetId="14" hidden="1">'6225'!$100:$100,'6225'!$101:$101,'6225'!$102:$102,'6225'!$103:$103,'6225'!$104:$104,'6225'!$105:$105,'6225'!$106:$106,'6225'!$107:$107,'6225'!$108:$108,'6225'!$109:$109,'6225'!$110:$110,'6225'!$111:$111,'6225'!$112:$112,'6225'!$113:$113,'6225'!$114:$114,'6225'!$115:$115</definedName>
    <definedName name="QB_DATA_6" localSheetId="19" hidden="1">'6260'!$100:$100,'6260'!$101:$101,'6260'!$102:$102,'6260'!$103:$103,'6260'!$104:$104,'6260'!$105:$105,'6260'!$106:$106,'6260'!$107:$107,'6260'!$108:$108,'6260'!$109:$109,'6260'!$110:$110,'6260'!$111:$111,'6260'!$112:$112,'6260'!$113:$113,'6260'!$114:$114,'6260'!$115:$115</definedName>
    <definedName name="QB_DATA_6" localSheetId="23" hidden="1">'6310'!$100:$100,'6310'!$101:$101,'6310'!$102:$102,'6310'!$103:$103,'6310'!$104:$104,'6310'!$105:$105,'6310'!$106:$106,'6310'!$107:$107,'6310'!$108:$108,'6310'!$109:$109,'6310'!$110:$110,'6310'!$111:$111,'6310'!$112:$112,'6310'!$113:$113,'6310'!$114:$114,'6310'!$115:$115</definedName>
    <definedName name="QB_DATA_7" localSheetId="5" hidden="1">'6110'!$116:$116,'6110'!$117:$117,'6110'!$118:$118,'6110'!$119:$119,'6110'!$120:$120,'6110'!$121:$121,'6110'!$122:$122,'6110'!$123:$123,'6110'!$124:$124,'6110'!$125:$125,'6110'!$126:$126,'6110'!$127:$127,'6110'!$128:$128,'6110'!$129:$129,'6110'!$130:$130,'6110'!$131:$131</definedName>
    <definedName name="QB_DATA_7" localSheetId="7" hidden="1">'6130'!$116:$116,'6130'!$117:$117,'6130'!$118:$118,'6130'!$119:$119,'6130'!$120:$120,'6130'!$121:$121,'6130'!$122:$122,'6130'!$123:$123,'6130'!$124:$124,'6130'!$125:$125,'6130'!$126:$126,'6130'!$127:$127,'6130'!$128:$128,'6130'!$129:$129,'6130'!$130:$130,'6130'!$131:$131</definedName>
    <definedName name="QB_DATA_7" localSheetId="11" hidden="1">'6210'!$116:$116,'6210'!$117:$117,'6210'!$118:$118,'6210'!$119:$119,'6210'!$120:$120,'6210'!$121:$121,'6210'!$122:$122,'6210'!$123:$123,'6210'!$124:$124,'6210'!$125:$125,'6210'!$126:$126,'6210'!$127:$127,'6210'!$128:$128,'6210'!$129:$129,'6210'!$130:$130,'6210'!$131:$131</definedName>
    <definedName name="QB_DATA_7" localSheetId="13" hidden="1">'6220'!$116:$116,'6220'!$117:$117,'6220'!$118:$118,'6220'!$119:$119,'6220'!$120:$120,'6220'!$121:$121,'6220'!$122:$122,'6220'!$123:$123,'6220'!$124:$124,'6220'!$125:$125,'6220'!$126:$126,'6220'!$127:$127,'6220'!$128:$128,'6220'!$129:$129,'6220'!$130:$130,'6220'!$131:$131</definedName>
    <definedName name="QB_DATA_7" localSheetId="14" hidden="1">'6225'!$116:$116,'6225'!$117:$117,'6225'!$118:$118,'6225'!$119:$119,'6225'!$120:$120,'6225'!$121:$121,'6225'!$122:$122,'6225'!$123:$123,'6225'!$124:$124,'6225'!$125:$125,'6225'!$126:$126,'6225'!$127:$127,'6225'!$128:$128,'6225'!$129:$129,'6225'!$130:$130,'6225'!$131:$131</definedName>
    <definedName name="QB_DATA_7" localSheetId="19" hidden="1">'6260'!$116:$116,'6260'!$117:$117,'6260'!$118:$118,'6260'!$119:$119,'6260'!$120:$120,'6260'!$121:$121,'6260'!$122:$122,'6260'!$123:$123,'6260'!$124:$124,'6260'!$125:$125,'6260'!$126:$126,'6260'!$127:$127,'6260'!$128:$128,'6260'!$129:$129,'6260'!$130:$130,'6260'!$131:$131</definedName>
    <definedName name="QB_DATA_7" localSheetId="23" hidden="1">'6310'!$116:$116,'6310'!$117:$117,'6310'!$118:$118,'6310'!$119:$119,'6310'!$120:$120,'6310'!$121:$121,'6310'!$122:$122,'6310'!$123:$123,'6310'!$124:$124,'6310'!$125:$125,'6310'!$126:$126,'6310'!$127:$127,'6310'!$128:$128,'6310'!$129:$129,'6310'!$130:$130,'6310'!$131:$131</definedName>
    <definedName name="QB_DATA_8" localSheetId="5" hidden="1">'6110'!$132:$132,'6110'!$133:$133,'6110'!$134:$134,'6110'!$135:$135,'6110'!$136:$136,'6110'!$137:$137,'6110'!$138:$138,'6110'!$139:$139,'6110'!$140:$140,'6110'!$141:$141,'6110'!$142:$142,'6110'!$143:$143,'6110'!$144:$144,'6110'!$145:$145,'6110'!$146:$146,'6110'!$147:$147</definedName>
    <definedName name="QB_DATA_8" localSheetId="7" hidden="1">'6130'!$132:$132,'6130'!$133:$133,'6130'!$134:$134,'6130'!$135:$135,'6130'!$136:$136,'6130'!$137:$137,'6130'!$138:$138,'6130'!$139:$139,'6130'!$140:$140,'6130'!$141:$141,'6130'!$142:$142,'6130'!$143:$143,'6130'!$144:$144</definedName>
    <definedName name="QB_DATA_8" localSheetId="11" hidden="1">'6210'!$132:$132,'6210'!$133:$133,'6210'!$134:$134,'6210'!$135:$135,'6210'!$136:$136,'6210'!$137:$137,'6210'!$138:$138,'6210'!$139:$139,'6210'!$140:$140,'6210'!$141:$141,'6210'!$142:$142,'6210'!$143:$143,'6210'!$144:$144,'6210'!$145:$145,'6210'!$146:$146,'6210'!$147:$147</definedName>
    <definedName name="QB_DATA_8" localSheetId="13" hidden="1">'6220'!$132:$132,'6220'!$133:$133,'6220'!$134:$134,'6220'!$135:$135,'6220'!$136:$136,'6220'!$137:$137,'6220'!$138:$138,'6220'!$139:$139,'6220'!$140:$140,'6220'!$141:$141,'6220'!$142:$142,'6220'!$143:$143,'6220'!$144:$144,'6220'!$145:$145,'6220'!$146:$146,'6220'!$147:$147</definedName>
    <definedName name="QB_DATA_8" localSheetId="14" hidden="1">'6225'!$132:$132,'6225'!$133:$133,'6225'!$134:$134,'6225'!$135:$135,'6225'!$136:$136,'6225'!$137:$137,'6225'!$138:$138,'6225'!$139:$139,'6225'!$140:$140,'6225'!$141:$141,'6225'!$142:$142,'6225'!$143:$143,'6225'!$144:$144,'6225'!$145:$145,'6225'!$146:$146,'6225'!$147:$147</definedName>
    <definedName name="QB_DATA_8" localSheetId="19" hidden="1">'6260'!$132:$132,'6260'!$133:$133,'6260'!$134:$134,'6260'!$135:$135,'6260'!$136:$136,'6260'!$137:$137,'6260'!$138:$138,'6260'!$139:$139,'6260'!$140:$140,'6260'!$141:$141,'6260'!$142:$142,'6260'!$143:$143,'6260'!$144:$144,'6260'!$145:$145,'6260'!$146:$146,'6260'!$147:$147</definedName>
    <definedName name="QB_DATA_8" localSheetId="23" hidden="1">'6310'!$132:$132,'6310'!$133:$133,'6310'!$134:$134,'6310'!$135:$135,'6310'!$136:$136,'6310'!$137:$137,'6310'!$138:$138,'6310'!$139:$139,'6310'!$140:$140,'6310'!$141:$141</definedName>
    <definedName name="QB_DATA_9" localSheetId="5" hidden="1">'6110'!$148:$148,'6110'!$149:$149,'6110'!$150:$150</definedName>
    <definedName name="QB_DATA_9" localSheetId="11" hidden="1">'6210'!$148:$148,'6210'!$149:$149,'6210'!$150:$150,'6210'!$151:$151,'6210'!$152:$152,'6210'!$153:$153,'6210'!$154:$154,'6210'!$155:$155,'6210'!$156:$156,'6210'!$157:$157,'6210'!$158:$158,'6210'!$159:$159,'6210'!$160:$160,'6210'!$161:$161,'6210'!$162:$162,'6210'!$163:$163</definedName>
    <definedName name="QB_DATA_9" localSheetId="13" hidden="1">'6220'!$148:$148,'6220'!$149:$149,'6220'!$150:$150,'6220'!$151:$151,'6220'!$152:$152,'6220'!$153:$153,'6220'!$154:$154</definedName>
    <definedName name="QB_DATA_9" localSheetId="14" hidden="1">'6225'!$148:$148,'6225'!$149:$149,'6225'!$150:$150,'6225'!$151:$151,'6225'!$152:$152,'6225'!$153:$153,'6225'!$154:$154,'6225'!$155:$155,'6225'!$156:$156,'6225'!$157:$157,'6225'!$158:$158,'6225'!$159:$159,'6225'!$160:$160,'6225'!$161:$161,'6225'!$162:$162,'6225'!$163:$163</definedName>
    <definedName name="QB_DATA_9" localSheetId="19" hidden="1">'6260'!$148:$148,'6260'!$149:$149</definedName>
    <definedName name="QB_FORMULA_0" localSheetId="5" hidden="1">'6110'!$F$151,'6110'!$F$152,'6110'!$F$153</definedName>
    <definedName name="QB_FORMULA_0" localSheetId="6" hidden="1">'6120'!$F$55,'6120'!$F$56,'6120'!$F$57</definedName>
    <definedName name="QB_FORMULA_0" localSheetId="7" hidden="1">'6130'!$F$145,'6130'!$F$146,'6130'!$F$147</definedName>
    <definedName name="QB_FORMULA_0" localSheetId="8" hidden="1">'6140'!$F$21,'6140'!$F$22,'6140'!$F$23</definedName>
    <definedName name="QB_FORMULA_0" localSheetId="9" hidden="1">'6150'!$F$92,'6150'!$F$93,'6150'!$F$94</definedName>
    <definedName name="QB_FORMULA_0" localSheetId="10" hidden="1">'6160'!$F$51,'6160'!$F$52,'6160'!$F$53</definedName>
    <definedName name="QB_FORMULA_0" localSheetId="11" hidden="1">'6210'!$F$460,'6210'!$F$461,'6210'!$F$462</definedName>
    <definedName name="QB_FORMULA_0" localSheetId="12" hidden="1">'6215'!$F$41,'6215'!$F$42,'6215'!$F$43</definedName>
    <definedName name="QB_FORMULA_0" localSheetId="13" hidden="1">'6220'!$F$155,'6220'!$F$156,'6220'!$F$157</definedName>
    <definedName name="QB_FORMULA_0" localSheetId="14" hidden="1">'6225'!$F$208,'6225'!$F$209,'6225'!$F$210</definedName>
    <definedName name="QB_FORMULA_0" localSheetId="15" hidden="1">'6235'!$F$30,'6235'!$F$31,'6235'!$F$32</definedName>
    <definedName name="QB_FORMULA_0" localSheetId="16" hidden="1">'6236'!$F$26,'6236'!$F$27,'6236'!$F$28</definedName>
    <definedName name="QB_FORMULA_0" localSheetId="17" hidden="1">'6240'!$F$58,'6240'!$F$59,'6240'!$F$60</definedName>
    <definedName name="QB_FORMULA_0" localSheetId="19" hidden="1">'6260'!$F$150,'6260'!$F$151</definedName>
    <definedName name="QB_FORMULA_0" localSheetId="20" hidden="1">'6280'!$F$78,'6280'!$F$79,'6280'!$F$80</definedName>
    <definedName name="QB_FORMULA_0" localSheetId="21" hidden="1">'6285'!$F$94,'6285'!$F$95,'6285'!$F$96</definedName>
    <definedName name="QB_FORMULA_0" localSheetId="22" hidden="1">'6290'!$F$14,'6290'!$F$15,'6290'!$F$16</definedName>
    <definedName name="QB_FORMULA_0" localSheetId="23" hidden="1">'6310'!$F$142,'6310'!$F$143,'6310'!$F$144</definedName>
    <definedName name="QB_FORMULA_0" localSheetId="24" hidden="1">'6320'!$F$11,'6320'!$F$12,'6320'!$F$13</definedName>
    <definedName name="QB_FORMULA_0" localSheetId="25" hidden="1">'6330'!$F$13,'6330'!$F$14,'6330'!$F$15</definedName>
    <definedName name="QB_FORMULA_0" localSheetId="26" hidden="1">'6340'!$F$38,'6340'!$F$39,'6340'!$F$40</definedName>
    <definedName name="QB_FORMULA_0" localSheetId="27" hidden="1">'6350'!$F$7,'6350'!$F$8,'6350'!$F$9</definedName>
    <definedName name="QB_FORMULA_0" localSheetId="28" hidden="1">'6810'!$F$15,'6810'!$F$16,'6810'!$F$17</definedName>
    <definedName name="QB_FORMULA_0" localSheetId="29" hidden="1">'8010'!$F$21,'8010'!$F$22,'8010'!$F$23</definedName>
    <definedName name="QB_ROW_161020" localSheetId="10" hidden="1">'6160'!#REF!</definedName>
    <definedName name="QB_ROW_161320" localSheetId="10" hidden="1">'6160'!#REF!</definedName>
    <definedName name="QB_ROW_163010" localSheetId="5" hidden="1">'6110'!#REF!</definedName>
    <definedName name="QB_ROW_163010" localSheetId="6" hidden="1">'6120'!#REF!</definedName>
    <definedName name="QB_ROW_163010" localSheetId="7" hidden="1">'6130'!#REF!</definedName>
    <definedName name="QB_ROW_163010" localSheetId="8" hidden="1">'6140'!#REF!</definedName>
    <definedName name="QB_ROW_163010" localSheetId="9" hidden="1">'6150'!#REF!</definedName>
    <definedName name="QB_ROW_163010" localSheetId="10" hidden="1">'6160'!#REF!</definedName>
    <definedName name="QB_ROW_163310" localSheetId="5" hidden="1">'6110'!#REF!</definedName>
    <definedName name="QB_ROW_163310" localSheetId="6" hidden="1">'6120'!#REF!</definedName>
    <definedName name="QB_ROW_163310" localSheetId="7" hidden="1">'6130'!#REF!</definedName>
    <definedName name="QB_ROW_163310" localSheetId="8" hidden="1">'6140'!#REF!</definedName>
    <definedName name="QB_ROW_163310" localSheetId="9" hidden="1">'6150'!#REF!</definedName>
    <definedName name="QB_ROW_163310" localSheetId="10" hidden="1">'6160'!#REF!</definedName>
    <definedName name="QB_ROW_164020" localSheetId="16" hidden="1">'6236'!#REF!</definedName>
    <definedName name="QB_ROW_164320" localSheetId="16" hidden="1">'6236'!#REF!</definedName>
    <definedName name="QB_ROW_165020" localSheetId="14" hidden="1">'6225'!#REF!</definedName>
    <definedName name="QB_ROW_165320" localSheetId="14" hidden="1">'6225'!#REF!</definedName>
    <definedName name="QB_ROW_166020" localSheetId="12" hidden="1">'6215'!#REF!</definedName>
    <definedName name="QB_ROW_166320" localSheetId="12" hidden="1">'6215'!#REF!</definedName>
    <definedName name="QB_ROW_168010" localSheetId="11" hidden="1">'6210'!#REF!</definedName>
    <definedName name="QB_ROW_168010" localSheetId="12" hidden="1">'6215'!#REF!</definedName>
    <definedName name="QB_ROW_168010" localSheetId="13" hidden="1">'6220'!#REF!</definedName>
    <definedName name="QB_ROW_168010" localSheetId="14" hidden="1">'6225'!#REF!</definedName>
    <definedName name="QB_ROW_168010" localSheetId="15" hidden="1">'6235'!#REF!</definedName>
    <definedName name="QB_ROW_168010" localSheetId="16" hidden="1">'6236'!#REF!</definedName>
    <definedName name="QB_ROW_168010" localSheetId="17" hidden="1">'6240'!#REF!</definedName>
    <definedName name="QB_ROW_168010" localSheetId="19" hidden="1">'6260'!#REF!</definedName>
    <definedName name="QB_ROW_168010" localSheetId="20" hidden="1">'6280'!#REF!</definedName>
    <definedName name="QB_ROW_168010" localSheetId="21" hidden="1">'6285'!#REF!</definedName>
    <definedName name="QB_ROW_168010" localSheetId="22" hidden="1">'6290'!#REF!</definedName>
    <definedName name="QB_ROW_168310" localSheetId="11" hidden="1">'6210'!#REF!</definedName>
    <definedName name="QB_ROW_168310" localSheetId="12" hidden="1">'6215'!#REF!</definedName>
    <definedName name="QB_ROW_168310" localSheetId="13" hidden="1">'6220'!#REF!</definedName>
    <definedName name="QB_ROW_168310" localSheetId="14" hidden="1">'6225'!#REF!</definedName>
    <definedName name="QB_ROW_168310" localSheetId="15" hidden="1">'6235'!#REF!</definedName>
    <definedName name="QB_ROW_168310" localSheetId="16" hidden="1">'6236'!#REF!</definedName>
    <definedName name="QB_ROW_168310" localSheetId="17" hidden="1">'6240'!#REF!</definedName>
    <definedName name="QB_ROW_168310" localSheetId="19" hidden="1">'6260'!#REF!</definedName>
    <definedName name="QB_ROW_168310" localSheetId="20" hidden="1">'6280'!#REF!</definedName>
    <definedName name="QB_ROW_168310" localSheetId="21" hidden="1">'6285'!#REF!</definedName>
    <definedName name="QB_ROW_168310" localSheetId="22" hidden="1">'6290'!#REF!</definedName>
    <definedName name="QB_ROW_169020" localSheetId="21" hidden="1">'6285'!#REF!</definedName>
    <definedName name="QB_ROW_169320" localSheetId="21" hidden="1">'6285'!#REF!</definedName>
    <definedName name="QB_ROW_172010" localSheetId="28" hidden="1">'6810'!#REF!</definedName>
    <definedName name="QB_ROW_172310" localSheetId="28" hidden="1">'6810'!#REF!</definedName>
    <definedName name="QB_ROW_178020" localSheetId="22" hidden="1">'6290'!#REF!</definedName>
    <definedName name="QB_ROW_178320" localSheetId="22" hidden="1">'6290'!#REF!</definedName>
    <definedName name="QB_ROW_179020" localSheetId="20" hidden="1">'6280'!#REF!</definedName>
    <definedName name="QB_ROW_179320" localSheetId="20" hidden="1">'6280'!#REF!</definedName>
    <definedName name="QB_ROW_181020" localSheetId="19" hidden="1">'6260'!#REF!</definedName>
    <definedName name="QB_ROW_181320" localSheetId="19" hidden="1">'6260'!#REF!</definedName>
    <definedName name="QB_ROW_183020" localSheetId="28" hidden="1">'6810'!#REF!</definedName>
    <definedName name="QB_ROW_183320" localSheetId="28" hidden="1">'6810'!#REF!</definedName>
    <definedName name="QB_ROW_184020" localSheetId="11" hidden="1">'6210'!#REF!</definedName>
    <definedName name="QB_ROW_184320" localSheetId="11" hidden="1">'6210'!#REF!</definedName>
    <definedName name="QB_ROW_186020" localSheetId="17" hidden="1">'6240'!#REF!</definedName>
    <definedName name="QB_ROW_186320" localSheetId="17" hidden="1">'6240'!#REF!</definedName>
    <definedName name="QB_ROW_187020" localSheetId="7" hidden="1">'6130'!#REF!</definedName>
    <definedName name="QB_ROW_187320" localSheetId="7" hidden="1">'6130'!#REF!</definedName>
    <definedName name="QB_ROW_188020" localSheetId="13" hidden="1">'6220'!#REF!</definedName>
    <definedName name="QB_ROW_188320" localSheetId="13" hidden="1">'6220'!#REF!</definedName>
    <definedName name="QB_ROW_189020" localSheetId="8" hidden="1">'6140'!#REF!</definedName>
    <definedName name="QB_ROW_189320" localSheetId="8" hidden="1">'6140'!#REF!</definedName>
    <definedName name="QB_ROW_191020" localSheetId="5" hidden="1">'6110'!#REF!</definedName>
    <definedName name="QB_ROW_191320" localSheetId="5" hidden="1">'6110'!#REF!</definedName>
    <definedName name="QB_ROW_192020" localSheetId="6" hidden="1">'6120'!#REF!</definedName>
    <definedName name="QB_ROW_192320" localSheetId="6" hidden="1">'6120'!#REF!</definedName>
    <definedName name="QB_ROW_193020" localSheetId="9" hidden="1">'6150'!#REF!</definedName>
    <definedName name="QB_ROW_193320" localSheetId="9" hidden="1">'6150'!#REF!</definedName>
    <definedName name="QB_ROW_194010" localSheetId="29" hidden="1">'8010'!#REF!</definedName>
    <definedName name="QB_ROW_194310" localSheetId="29" hidden="1">'8010'!#REF!</definedName>
    <definedName name="QB_ROW_195020" localSheetId="29" hidden="1">'8010'!#REF!</definedName>
    <definedName name="QB_ROW_195320" localSheetId="29" hidden="1">'8010'!#REF!</definedName>
    <definedName name="QB_ROW_201020" localSheetId="23" hidden="1">'6310'!#REF!</definedName>
    <definedName name="QB_ROW_201320" localSheetId="23" hidden="1">'6310'!#REF!</definedName>
    <definedName name="QB_ROW_213020" localSheetId="15" hidden="1">'6235'!#REF!</definedName>
    <definedName name="QB_ROW_213320" localSheetId="15" hidden="1">'6235'!#REF!</definedName>
    <definedName name="QB_ROW_214020" localSheetId="24" hidden="1">'6320'!#REF!</definedName>
    <definedName name="QB_ROW_214320" localSheetId="24" hidden="1">'6320'!#REF!</definedName>
    <definedName name="QB_ROW_215020" localSheetId="25" hidden="1">'6330'!#REF!</definedName>
    <definedName name="QB_ROW_215320" localSheetId="25" hidden="1">'6330'!#REF!</definedName>
    <definedName name="QB_ROW_216020" localSheetId="26" hidden="1">'6340'!#REF!</definedName>
    <definedName name="QB_ROW_216320" localSheetId="26" hidden="1">'6340'!#REF!</definedName>
    <definedName name="QB_ROW_217020" localSheetId="27" hidden="1">'6350'!#REF!</definedName>
    <definedName name="QB_ROW_217320" localSheetId="27" hidden="1">'6350'!#REF!</definedName>
    <definedName name="QB_ROW_232010" localSheetId="23" hidden="1">'6310'!#REF!</definedName>
    <definedName name="QB_ROW_232010" localSheetId="24" hidden="1">'6320'!#REF!</definedName>
    <definedName name="QB_ROW_232010" localSheetId="25" hidden="1">'6330'!#REF!</definedName>
    <definedName name="QB_ROW_232010" localSheetId="26" hidden="1">'6340'!#REF!</definedName>
    <definedName name="QB_ROW_232010" localSheetId="27" hidden="1">'6350'!#REF!</definedName>
    <definedName name="QB_ROW_232310" localSheetId="23" hidden="1">'6310'!#REF!</definedName>
    <definedName name="QB_ROW_232310" localSheetId="24" hidden="1">'6320'!#REF!</definedName>
    <definedName name="QB_ROW_232310" localSheetId="25" hidden="1">'6330'!#REF!</definedName>
    <definedName name="QB_ROW_232310" localSheetId="26" hidden="1">'6340'!#REF!</definedName>
    <definedName name="QB_ROW_232310" localSheetId="27" hidden="1">'6350'!#REF!</definedName>
    <definedName name="QB_ROW_25301" localSheetId="5" hidden="1">'6110'!#REF!</definedName>
    <definedName name="QB_ROW_25301" localSheetId="6" hidden="1">'6120'!#REF!</definedName>
    <definedName name="QB_ROW_25301" localSheetId="7" hidden="1">'6130'!#REF!</definedName>
    <definedName name="QB_ROW_25301" localSheetId="8" hidden="1">'6140'!#REF!</definedName>
    <definedName name="QB_ROW_25301" localSheetId="9" hidden="1">'6150'!#REF!</definedName>
    <definedName name="QB_ROW_25301" localSheetId="10" hidden="1">'6160'!#REF!</definedName>
    <definedName name="QB_ROW_25301" localSheetId="11" hidden="1">'6210'!#REF!</definedName>
    <definedName name="QB_ROW_25301" localSheetId="12" hidden="1">'6215'!#REF!</definedName>
    <definedName name="QB_ROW_25301" localSheetId="13" hidden="1">'6220'!#REF!</definedName>
    <definedName name="QB_ROW_25301" localSheetId="14" hidden="1">'6225'!#REF!</definedName>
    <definedName name="QB_ROW_25301" localSheetId="15" hidden="1">'6235'!#REF!</definedName>
    <definedName name="QB_ROW_25301" localSheetId="16" hidden="1">'6236'!#REF!</definedName>
    <definedName name="QB_ROW_25301" localSheetId="17" hidden="1">'6240'!#REF!</definedName>
    <definedName name="QB_ROW_25301" localSheetId="19" hidden="1">'6260'!#REF!</definedName>
    <definedName name="QB_ROW_25301" localSheetId="20" hidden="1">'6280'!#REF!</definedName>
    <definedName name="QB_ROW_25301" localSheetId="21" hidden="1">'6285'!#REF!</definedName>
    <definedName name="QB_ROW_25301" localSheetId="22" hidden="1">'6290'!#REF!</definedName>
    <definedName name="QB_ROW_25301" localSheetId="23" hidden="1">'6310'!#REF!</definedName>
    <definedName name="QB_ROW_25301" localSheetId="24" hidden="1">'6320'!#REF!</definedName>
    <definedName name="QB_ROW_25301" localSheetId="25" hidden="1">'6330'!#REF!</definedName>
    <definedName name="QB_ROW_25301" localSheetId="26" hidden="1">'6340'!#REF!</definedName>
    <definedName name="QB_ROW_25301" localSheetId="27" hidden="1">'6350'!#REF!</definedName>
    <definedName name="QB_ROW_25301" localSheetId="28" hidden="1">'6810'!#REF!</definedName>
    <definedName name="QB_ROW_25301" localSheetId="29" hidden="1">'8010'!#REF!</definedName>
    <definedName name="QBCANSUPPORTUPDATE" localSheetId="5">TRUE</definedName>
    <definedName name="QBCANSUPPORTUPDATE" localSheetId="6">TRUE</definedName>
    <definedName name="QBCANSUPPORTUPDATE" localSheetId="7">TRUE</definedName>
    <definedName name="QBCANSUPPORTUPDATE" localSheetId="8">TRUE</definedName>
    <definedName name="QBCANSUPPORTUPDATE" localSheetId="9">TRUE</definedName>
    <definedName name="QBCANSUPPORTUPDATE" localSheetId="10">TRUE</definedName>
    <definedName name="QBCANSUPPORTUPDATE" localSheetId="11">TRUE</definedName>
    <definedName name="QBCANSUPPORTUPDATE" localSheetId="12">TRUE</definedName>
    <definedName name="QBCANSUPPORTUPDATE" localSheetId="13">TRUE</definedName>
    <definedName name="QBCANSUPPORTUPDATE" localSheetId="14">TRUE</definedName>
    <definedName name="QBCANSUPPORTUPDATE" localSheetId="15">TRUE</definedName>
    <definedName name="QBCANSUPPORTUPDATE" localSheetId="16">TRUE</definedName>
    <definedName name="QBCANSUPPORTUPDATE" localSheetId="17">TRUE</definedName>
    <definedName name="QBCANSUPPORTUPDATE" localSheetId="19">TRUE</definedName>
    <definedName name="QBCANSUPPORTUPDATE" localSheetId="20">TRUE</definedName>
    <definedName name="QBCANSUPPORTUPDATE" localSheetId="21">TRUE</definedName>
    <definedName name="QBCANSUPPORTUPDATE" localSheetId="22">TRUE</definedName>
    <definedName name="QBCANSUPPORTUPDATE" localSheetId="23">TRUE</definedName>
    <definedName name="QBCANSUPPORTUPDATE" localSheetId="24">TRUE</definedName>
    <definedName name="QBCANSUPPORTUPDATE" localSheetId="25">TRUE</definedName>
    <definedName name="QBCANSUPPORTUPDATE" localSheetId="26">TRUE</definedName>
    <definedName name="QBCANSUPPORTUPDATE" localSheetId="27">TRUE</definedName>
    <definedName name="QBCANSUPPORTUPDATE" localSheetId="28">TRUE</definedName>
    <definedName name="QBCANSUPPORTUPDATE" localSheetId="29">TRUE</definedName>
    <definedName name="QBCOMPANYFILENAME" localSheetId="5">"Q:\Williamson County Appraisal District.QBW"</definedName>
    <definedName name="QBCOMPANYFILENAME" localSheetId="6">"Q:\Williamson County Appraisal District.QBW"</definedName>
    <definedName name="QBCOMPANYFILENAME" localSheetId="7">"Q:\Williamson County Appraisal District.QBW"</definedName>
    <definedName name="QBCOMPANYFILENAME" localSheetId="8">"Q:\Williamson County Appraisal District.QBW"</definedName>
    <definedName name="QBCOMPANYFILENAME" localSheetId="9">"Q:\Williamson County Appraisal District.QBW"</definedName>
    <definedName name="QBCOMPANYFILENAME" localSheetId="10">"Q:\Williamson County Appraisal District.QBW"</definedName>
    <definedName name="QBCOMPANYFILENAME" localSheetId="11">"Q:\Williamson County Appraisal District.QBW"</definedName>
    <definedName name="QBCOMPANYFILENAME" localSheetId="12">"Q:\Williamson County Appraisal District.QBW"</definedName>
    <definedName name="QBCOMPANYFILENAME" localSheetId="13">"Q:\Williamson County Appraisal District.QBW"</definedName>
    <definedName name="QBCOMPANYFILENAME" localSheetId="14">"Q:\Williamson County Appraisal District.QBW"</definedName>
    <definedName name="QBCOMPANYFILENAME" localSheetId="15">"Q:\Williamson County Appraisal District.QBW"</definedName>
    <definedName name="QBCOMPANYFILENAME" localSheetId="16">"Q:\Williamson County Appraisal District.QBW"</definedName>
    <definedName name="QBCOMPANYFILENAME" localSheetId="17">"Q:\Williamson County Appraisal District.QBW"</definedName>
    <definedName name="QBCOMPANYFILENAME" localSheetId="19">"Q:\Williamson County Appraisal District.QBW"</definedName>
    <definedName name="QBCOMPANYFILENAME" localSheetId="20">"Q:\Williamson County Appraisal District.QBW"</definedName>
    <definedName name="QBCOMPANYFILENAME" localSheetId="21">"Q:\Williamson County Appraisal District.QBW"</definedName>
    <definedName name="QBCOMPANYFILENAME" localSheetId="22">"Q:\Williamson County Appraisal District.QBW"</definedName>
    <definedName name="QBCOMPANYFILENAME" localSheetId="23">"Q:\Williamson County Appraisal District.QBW"</definedName>
    <definedName name="QBCOMPANYFILENAME" localSheetId="24">"Q:\Williamson County Appraisal District.QBW"</definedName>
    <definedName name="QBCOMPANYFILENAME" localSheetId="25">"Q:\Williamson County Appraisal District.QBW"</definedName>
    <definedName name="QBCOMPANYFILENAME" localSheetId="26">"Q:\Williamson County Appraisal District.QBW"</definedName>
    <definedName name="QBCOMPANYFILENAME" localSheetId="27">"Q:\Williamson County Appraisal District.QBW"</definedName>
    <definedName name="QBCOMPANYFILENAME" localSheetId="28">"Q:\Williamson County Appraisal District.QBW"</definedName>
    <definedName name="QBCOMPANYFILENAME" localSheetId="29">"Q:\Williamson County Appraisal District.QBW"</definedName>
    <definedName name="QBENDDATE" localSheetId="5">20191231</definedName>
    <definedName name="QBENDDATE" localSheetId="6">20191231</definedName>
    <definedName name="QBENDDATE" localSheetId="7">20191231</definedName>
    <definedName name="QBENDDATE" localSheetId="8">20191231</definedName>
    <definedName name="QBENDDATE" localSheetId="9">20191231</definedName>
    <definedName name="QBENDDATE" localSheetId="10">20191231</definedName>
    <definedName name="QBENDDATE" localSheetId="11">20191231</definedName>
    <definedName name="QBENDDATE" localSheetId="12">20191231</definedName>
    <definedName name="QBENDDATE" localSheetId="13">20191231</definedName>
    <definedName name="QBENDDATE" localSheetId="14">20191231</definedName>
    <definedName name="QBENDDATE" localSheetId="15">20191231</definedName>
    <definedName name="QBENDDATE" localSheetId="16">20191231</definedName>
    <definedName name="QBENDDATE" localSheetId="17">20191231</definedName>
    <definedName name="QBENDDATE" localSheetId="19">20191231</definedName>
    <definedName name="QBENDDATE" localSheetId="20">20191231</definedName>
    <definedName name="QBENDDATE" localSheetId="21">20191231</definedName>
    <definedName name="QBENDDATE" localSheetId="22">20191104</definedName>
    <definedName name="QBENDDATE" localSheetId="23">20191231</definedName>
    <definedName name="QBENDDATE" localSheetId="24">20190919</definedName>
    <definedName name="QBENDDATE" localSheetId="25">20191104</definedName>
    <definedName name="QBENDDATE" localSheetId="26">20190314</definedName>
    <definedName name="QBENDDATE" localSheetId="27">20191104</definedName>
    <definedName name="QBENDDATE" localSheetId="28">20191104</definedName>
    <definedName name="QBENDDATE" localSheetId="29">20191206</definedName>
    <definedName name="QBHEADERSONSCREEN" localSheetId="5">FALSE</definedName>
    <definedName name="QBHEADERSONSCREEN" localSheetId="6">FALSE</definedName>
    <definedName name="QBHEADERSONSCREEN" localSheetId="7">FALSE</definedName>
    <definedName name="QBHEADERSONSCREEN" localSheetId="8">FALSE</definedName>
    <definedName name="QBHEADERSONSCREEN" localSheetId="9">FALSE</definedName>
    <definedName name="QBHEADERSONSCREEN" localSheetId="10">FALSE</definedName>
    <definedName name="QBHEADERSONSCREEN" localSheetId="11">FALSE</definedName>
    <definedName name="QBHEADERSONSCREEN" localSheetId="12">FALSE</definedName>
    <definedName name="QBHEADERSONSCREEN" localSheetId="13">FALSE</definedName>
    <definedName name="QBHEADERSONSCREEN" localSheetId="14">FALSE</definedName>
    <definedName name="QBHEADERSONSCREEN" localSheetId="15">FALSE</definedName>
    <definedName name="QBHEADERSONSCREEN" localSheetId="16">FALSE</definedName>
    <definedName name="QBHEADERSONSCREEN" localSheetId="17">FALSE</definedName>
    <definedName name="QBHEADERSONSCREEN" localSheetId="19">FALSE</definedName>
    <definedName name="QBHEADERSONSCREEN" localSheetId="20">FALSE</definedName>
    <definedName name="QBHEADERSONSCREEN" localSheetId="21">FALSE</definedName>
    <definedName name="QBHEADERSONSCREEN" localSheetId="22">FALSE</definedName>
    <definedName name="QBHEADERSONSCREEN" localSheetId="23">FALSE</definedName>
    <definedName name="QBHEADERSONSCREEN" localSheetId="24">FALSE</definedName>
    <definedName name="QBHEADERSONSCREEN" localSheetId="25">FALSE</definedName>
    <definedName name="QBHEADERSONSCREEN" localSheetId="26">FALSE</definedName>
    <definedName name="QBHEADERSONSCREEN" localSheetId="27">FALSE</definedName>
    <definedName name="QBHEADERSONSCREEN" localSheetId="28">FALSE</definedName>
    <definedName name="QBHEADERSONSCREEN" localSheetId="29">FALSE</definedName>
    <definedName name="QBMETADATASIZE" localSheetId="5">7582</definedName>
    <definedName name="QBMETADATASIZE" localSheetId="6">7582</definedName>
    <definedName name="QBMETADATASIZE" localSheetId="7">7582</definedName>
    <definedName name="QBMETADATASIZE" localSheetId="8">7582</definedName>
    <definedName name="QBMETADATASIZE" localSheetId="9">7582</definedName>
    <definedName name="QBMETADATASIZE" localSheetId="10">7582</definedName>
    <definedName name="QBMETADATASIZE" localSheetId="11">7582</definedName>
    <definedName name="QBMETADATASIZE" localSheetId="12">7582</definedName>
    <definedName name="QBMETADATASIZE" localSheetId="13">7582</definedName>
    <definedName name="QBMETADATASIZE" localSheetId="14">7582</definedName>
    <definedName name="QBMETADATASIZE" localSheetId="15">7582</definedName>
    <definedName name="QBMETADATASIZE" localSheetId="16">7582</definedName>
    <definedName name="QBMETADATASIZE" localSheetId="17">7582</definedName>
    <definedName name="QBMETADATASIZE" localSheetId="19">7582</definedName>
    <definedName name="QBMETADATASIZE" localSheetId="20">7582</definedName>
    <definedName name="QBMETADATASIZE" localSheetId="21">7582</definedName>
    <definedName name="QBMETADATASIZE" localSheetId="22">7572</definedName>
    <definedName name="QBMETADATASIZE" localSheetId="23">7582</definedName>
    <definedName name="QBMETADATASIZE" localSheetId="24">7572</definedName>
    <definedName name="QBMETADATASIZE" localSheetId="25">7572</definedName>
    <definedName name="QBMETADATASIZE" localSheetId="26">7572</definedName>
    <definedName name="QBMETADATASIZE" localSheetId="27">7572</definedName>
    <definedName name="QBMETADATASIZE" localSheetId="28">7572</definedName>
    <definedName name="QBMETADATASIZE" localSheetId="29">7572</definedName>
    <definedName name="QBPRESERVECOLOR" localSheetId="5">FALSE</definedName>
    <definedName name="QBPRESERVECOLOR" localSheetId="6">FALSE</definedName>
    <definedName name="QBPRESERVECOLOR" localSheetId="7">FALSE</definedName>
    <definedName name="QBPRESERVECOLOR" localSheetId="8">FALSE</definedName>
    <definedName name="QBPRESERVECOLOR" localSheetId="9">FALSE</definedName>
    <definedName name="QBPRESERVECOLOR" localSheetId="10">FALSE</definedName>
    <definedName name="QBPRESERVECOLOR" localSheetId="11">FALSE</definedName>
    <definedName name="QBPRESERVECOLOR" localSheetId="12">FALSE</definedName>
    <definedName name="QBPRESERVECOLOR" localSheetId="13">FALSE</definedName>
    <definedName name="QBPRESERVECOLOR" localSheetId="14">FALSE</definedName>
    <definedName name="QBPRESERVECOLOR" localSheetId="15">FALSE</definedName>
    <definedName name="QBPRESERVECOLOR" localSheetId="16">FALSE</definedName>
    <definedName name="QBPRESERVECOLOR" localSheetId="17">FALSE</definedName>
    <definedName name="QBPRESERVECOLOR" localSheetId="19">FALSE</definedName>
    <definedName name="QBPRESERVECOLOR" localSheetId="20">FALSE</definedName>
    <definedName name="QBPRESERVECOLOR" localSheetId="21">FALSE</definedName>
    <definedName name="QBPRESERVECOLOR" localSheetId="22">FALSE</definedName>
    <definedName name="QBPRESERVECOLOR" localSheetId="23">FALSE</definedName>
    <definedName name="QBPRESERVECOLOR" localSheetId="24">FALSE</definedName>
    <definedName name="QBPRESERVECOLOR" localSheetId="25">FALSE</definedName>
    <definedName name="QBPRESERVECOLOR" localSheetId="26">FALSE</definedName>
    <definedName name="QBPRESERVECOLOR" localSheetId="27">FALSE</definedName>
    <definedName name="QBPRESERVECOLOR" localSheetId="28">FALSE</definedName>
    <definedName name="QBPRESERVECOLOR" localSheetId="29">FALSE</definedName>
    <definedName name="QBPRESERVEFONT" localSheetId="5">FALSE</definedName>
    <definedName name="QBPRESERVEFONT" localSheetId="6">FALSE</definedName>
    <definedName name="QBPRESERVEFONT" localSheetId="7">FALSE</definedName>
    <definedName name="QBPRESERVEFONT" localSheetId="8">FALSE</definedName>
    <definedName name="QBPRESERVEFONT" localSheetId="9">FALSE</definedName>
    <definedName name="QBPRESERVEFONT" localSheetId="10">FALSE</definedName>
    <definedName name="QBPRESERVEFONT" localSheetId="11">FALSE</definedName>
    <definedName name="QBPRESERVEFONT" localSheetId="12">FALSE</definedName>
    <definedName name="QBPRESERVEFONT" localSheetId="13">FALSE</definedName>
    <definedName name="QBPRESERVEFONT" localSheetId="14">FALSE</definedName>
    <definedName name="QBPRESERVEFONT" localSheetId="15">FALSE</definedName>
    <definedName name="QBPRESERVEFONT" localSheetId="16">FALSE</definedName>
    <definedName name="QBPRESERVEFONT" localSheetId="17">FALSE</definedName>
    <definedName name="QBPRESERVEFONT" localSheetId="19">FALSE</definedName>
    <definedName name="QBPRESERVEFONT" localSheetId="20">FALSE</definedName>
    <definedName name="QBPRESERVEFONT" localSheetId="21">FALSE</definedName>
    <definedName name="QBPRESERVEFONT" localSheetId="22">FALSE</definedName>
    <definedName name="QBPRESERVEFONT" localSheetId="23">FALSE</definedName>
    <definedName name="QBPRESERVEFONT" localSheetId="24">FALSE</definedName>
    <definedName name="QBPRESERVEFONT" localSheetId="25">FALSE</definedName>
    <definedName name="QBPRESERVEFONT" localSheetId="26">FALSE</definedName>
    <definedName name="QBPRESERVEFONT" localSheetId="27">FALSE</definedName>
    <definedName name="QBPRESERVEFONT" localSheetId="28">FALSE</definedName>
    <definedName name="QBPRESERVEFONT" localSheetId="29">FALSE</definedName>
    <definedName name="QBPRESERVEROWHEIGHT" localSheetId="5">FALSE</definedName>
    <definedName name="QBPRESERVEROWHEIGHT" localSheetId="6">FALSE</definedName>
    <definedName name="QBPRESERVEROWHEIGHT" localSheetId="7">FALSE</definedName>
    <definedName name="QBPRESERVEROWHEIGHT" localSheetId="8">FALSE</definedName>
    <definedName name="QBPRESERVEROWHEIGHT" localSheetId="9">FALSE</definedName>
    <definedName name="QBPRESERVEROWHEIGHT" localSheetId="10">FALSE</definedName>
    <definedName name="QBPRESERVEROWHEIGHT" localSheetId="11">FALSE</definedName>
    <definedName name="QBPRESERVEROWHEIGHT" localSheetId="12">FALSE</definedName>
    <definedName name="QBPRESERVEROWHEIGHT" localSheetId="13">FALSE</definedName>
    <definedName name="QBPRESERVEROWHEIGHT" localSheetId="14">FALSE</definedName>
    <definedName name="QBPRESERVEROWHEIGHT" localSheetId="15">FALSE</definedName>
    <definedName name="QBPRESERVEROWHEIGHT" localSheetId="16">FALSE</definedName>
    <definedName name="QBPRESERVEROWHEIGHT" localSheetId="17">FALSE</definedName>
    <definedName name="QBPRESERVEROWHEIGHT" localSheetId="19">FALSE</definedName>
    <definedName name="QBPRESERVEROWHEIGHT" localSheetId="20">FALSE</definedName>
    <definedName name="QBPRESERVEROWHEIGHT" localSheetId="21">FALSE</definedName>
    <definedName name="QBPRESERVEROWHEIGHT" localSheetId="22">FALSE</definedName>
    <definedName name="QBPRESERVEROWHEIGHT" localSheetId="23">FALSE</definedName>
    <definedName name="QBPRESERVEROWHEIGHT" localSheetId="24">FALSE</definedName>
    <definedName name="QBPRESERVEROWHEIGHT" localSheetId="25">FALSE</definedName>
    <definedName name="QBPRESERVEROWHEIGHT" localSheetId="26">FALSE</definedName>
    <definedName name="QBPRESERVEROWHEIGHT" localSheetId="27">FALSE</definedName>
    <definedName name="QBPRESERVEROWHEIGHT" localSheetId="28">FALSE</definedName>
    <definedName name="QBPRESERVEROWHEIGHT" localSheetId="29">FALSE</definedName>
    <definedName name="QBPRESERVESPACE" localSheetId="5">FALSE</definedName>
    <definedName name="QBPRESERVESPACE" localSheetId="6">FALSE</definedName>
    <definedName name="QBPRESERVESPACE" localSheetId="7">FALSE</definedName>
    <definedName name="QBPRESERVESPACE" localSheetId="8">FALSE</definedName>
    <definedName name="QBPRESERVESPACE" localSheetId="9">FALSE</definedName>
    <definedName name="QBPRESERVESPACE" localSheetId="10">FALSE</definedName>
    <definedName name="QBPRESERVESPACE" localSheetId="11">FALSE</definedName>
    <definedName name="QBPRESERVESPACE" localSheetId="12">FALSE</definedName>
    <definedName name="QBPRESERVESPACE" localSheetId="13">FALSE</definedName>
    <definedName name="QBPRESERVESPACE" localSheetId="14">FALSE</definedName>
    <definedName name="QBPRESERVESPACE" localSheetId="15">FALSE</definedName>
    <definedName name="QBPRESERVESPACE" localSheetId="16">FALSE</definedName>
    <definedName name="QBPRESERVESPACE" localSheetId="17">FALSE</definedName>
    <definedName name="QBPRESERVESPACE" localSheetId="19">FALSE</definedName>
    <definedName name="QBPRESERVESPACE" localSheetId="20">FALSE</definedName>
    <definedName name="QBPRESERVESPACE" localSheetId="21">FALSE</definedName>
    <definedName name="QBPRESERVESPACE" localSheetId="22">FALSE</definedName>
    <definedName name="QBPRESERVESPACE" localSheetId="23">FALSE</definedName>
    <definedName name="QBPRESERVESPACE" localSheetId="24">FALSE</definedName>
    <definedName name="QBPRESERVESPACE" localSheetId="25">FALSE</definedName>
    <definedName name="QBPRESERVESPACE" localSheetId="26">FALSE</definedName>
    <definedName name="QBPRESERVESPACE" localSheetId="27">FALSE</definedName>
    <definedName name="QBPRESERVESPACE" localSheetId="28">FALSE</definedName>
    <definedName name="QBPRESERVESPACE" localSheetId="29">FALSE</definedName>
    <definedName name="QBREPORTCOLAXIS" localSheetId="5">0</definedName>
    <definedName name="QBREPORTCOLAXIS" localSheetId="6">0</definedName>
    <definedName name="QBREPORTCOLAXIS" localSheetId="7">0</definedName>
    <definedName name="QBREPORTCOLAXIS" localSheetId="8">0</definedName>
    <definedName name="QBREPORTCOLAXIS" localSheetId="9">0</definedName>
    <definedName name="QBREPORTCOLAXIS" localSheetId="10">0</definedName>
    <definedName name="QBREPORTCOLAXIS" localSheetId="11">0</definedName>
    <definedName name="QBREPORTCOLAXIS" localSheetId="12">0</definedName>
    <definedName name="QBREPORTCOLAXIS" localSheetId="13">0</definedName>
    <definedName name="QBREPORTCOLAXIS" localSheetId="14">0</definedName>
    <definedName name="QBREPORTCOLAXIS" localSheetId="15">0</definedName>
    <definedName name="QBREPORTCOLAXIS" localSheetId="16">0</definedName>
    <definedName name="QBREPORTCOLAXIS" localSheetId="17">0</definedName>
    <definedName name="QBREPORTCOLAXIS" localSheetId="19">0</definedName>
    <definedName name="QBREPORTCOLAXIS" localSheetId="20">0</definedName>
    <definedName name="QBREPORTCOLAXIS" localSheetId="21">0</definedName>
    <definedName name="QBREPORTCOLAXIS" localSheetId="22">0</definedName>
    <definedName name="QBREPORTCOLAXIS" localSheetId="23">0</definedName>
    <definedName name="QBREPORTCOLAXIS" localSheetId="24">0</definedName>
    <definedName name="QBREPORTCOLAXIS" localSheetId="25">0</definedName>
    <definedName name="QBREPORTCOLAXIS" localSheetId="26">0</definedName>
    <definedName name="QBREPORTCOLAXIS" localSheetId="27">0</definedName>
    <definedName name="QBREPORTCOLAXIS" localSheetId="28">0</definedName>
    <definedName name="QBREPORTCOLAXIS" localSheetId="29">0</definedName>
    <definedName name="QBREPORTCOMPANYID" localSheetId="5">"b08a18a08e4f48359dec696f3262895f"</definedName>
    <definedName name="QBREPORTCOMPANYID" localSheetId="6">"b08a18a08e4f48359dec696f3262895f"</definedName>
    <definedName name="QBREPORTCOMPANYID" localSheetId="7">"b08a18a08e4f48359dec696f3262895f"</definedName>
    <definedName name="QBREPORTCOMPANYID" localSheetId="8">"b08a18a08e4f48359dec696f3262895f"</definedName>
    <definedName name="QBREPORTCOMPANYID" localSheetId="9">"b08a18a08e4f48359dec696f3262895f"</definedName>
    <definedName name="QBREPORTCOMPANYID" localSheetId="10">"b08a18a08e4f48359dec696f3262895f"</definedName>
    <definedName name="QBREPORTCOMPANYID" localSheetId="11">"b08a18a08e4f48359dec696f3262895f"</definedName>
    <definedName name="QBREPORTCOMPANYID" localSheetId="12">"b08a18a08e4f48359dec696f3262895f"</definedName>
    <definedName name="QBREPORTCOMPANYID" localSheetId="13">"b08a18a08e4f48359dec696f3262895f"</definedName>
    <definedName name="QBREPORTCOMPANYID" localSheetId="14">"b08a18a08e4f48359dec696f3262895f"</definedName>
    <definedName name="QBREPORTCOMPANYID" localSheetId="15">"b08a18a08e4f48359dec696f3262895f"</definedName>
    <definedName name="QBREPORTCOMPANYID" localSheetId="16">"b08a18a08e4f48359dec696f3262895f"</definedName>
    <definedName name="QBREPORTCOMPANYID" localSheetId="17">"b08a18a08e4f48359dec696f3262895f"</definedName>
    <definedName name="QBREPORTCOMPANYID" localSheetId="19">"b08a18a08e4f48359dec696f3262895f"</definedName>
    <definedName name="QBREPORTCOMPANYID" localSheetId="20">"b08a18a08e4f48359dec696f3262895f"</definedName>
    <definedName name="QBREPORTCOMPANYID" localSheetId="21">"b08a18a08e4f48359dec696f3262895f"</definedName>
    <definedName name="QBREPORTCOMPANYID" localSheetId="22">"b08a18a08e4f48359dec696f3262895f"</definedName>
    <definedName name="QBREPORTCOMPANYID" localSheetId="23">"b08a18a08e4f48359dec696f3262895f"</definedName>
    <definedName name="QBREPORTCOMPANYID" localSheetId="24">"b08a18a08e4f48359dec696f3262895f"</definedName>
    <definedName name="QBREPORTCOMPANYID" localSheetId="25">"b08a18a08e4f48359dec696f3262895f"</definedName>
    <definedName name="QBREPORTCOMPANYID" localSheetId="26">"b08a18a08e4f48359dec696f3262895f"</definedName>
    <definedName name="QBREPORTCOMPANYID" localSheetId="27">"b08a18a08e4f48359dec696f3262895f"</definedName>
    <definedName name="QBREPORTCOMPANYID" localSheetId="28">"b08a18a08e4f48359dec696f3262895f"</definedName>
    <definedName name="QBREPORTCOMPANYID" localSheetId="29">"b08a18a08e4f48359dec696f3262895f"</definedName>
    <definedName name="QBREPORTCOMPARECOL_ANNUALBUDGET" localSheetId="5">FALSE</definedName>
    <definedName name="QBREPORTCOMPARECOL_ANNUALBUDGET" localSheetId="6">FALSE</definedName>
    <definedName name="QBREPORTCOMPARECOL_ANNUALBUDGET" localSheetId="7">FALSE</definedName>
    <definedName name="QBREPORTCOMPARECOL_ANNUALBUDGET" localSheetId="8">FALSE</definedName>
    <definedName name="QBREPORTCOMPARECOL_ANNUALBUDGET" localSheetId="9">FALSE</definedName>
    <definedName name="QBREPORTCOMPARECOL_ANNUALBUDGET" localSheetId="10">FALSE</definedName>
    <definedName name="QBREPORTCOMPARECOL_ANNUALBUDGET" localSheetId="11">FALSE</definedName>
    <definedName name="QBREPORTCOMPARECOL_ANNUALBUDGET" localSheetId="12">FALSE</definedName>
    <definedName name="QBREPORTCOMPARECOL_ANNUALBUDGET" localSheetId="13">FALSE</definedName>
    <definedName name="QBREPORTCOMPARECOL_ANNUALBUDGET" localSheetId="14">FALSE</definedName>
    <definedName name="QBREPORTCOMPARECOL_ANNUALBUDGET" localSheetId="15">FALSE</definedName>
    <definedName name="QBREPORTCOMPARECOL_ANNUALBUDGET" localSheetId="16">FALSE</definedName>
    <definedName name="QBREPORTCOMPARECOL_ANNUALBUDGET" localSheetId="17">FALSE</definedName>
    <definedName name="QBREPORTCOMPARECOL_ANNUALBUDGET" localSheetId="19">FALSE</definedName>
    <definedName name="QBREPORTCOMPARECOL_ANNUALBUDGET" localSheetId="20">FALSE</definedName>
    <definedName name="QBREPORTCOMPARECOL_ANNUALBUDGET" localSheetId="21">FALSE</definedName>
    <definedName name="QBREPORTCOMPARECOL_ANNUALBUDGET" localSheetId="22">FALSE</definedName>
    <definedName name="QBREPORTCOMPARECOL_ANNUALBUDGET" localSheetId="23">FALSE</definedName>
    <definedName name="QBREPORTCOMPARECOL_ANNUALBUDGET" localSheetId="24">FALSE</definedName>
    <definedName name="QBREPORTCOMPARECOL_ANNUALBUDGET" localSheetId="25">FALSE</definedName>
    <definedName name="QBREPORTCOMPARECOL_ANNUALBUDGET" localSheetId="26">FALSE</definedName>
    <definedName name="QBREPORTCOMPARECOL_ANNUALBUDGET" localSheetId="27">FALSE</definedName>
    <definedName name="QBREPORTCOMPARECOL_ANNUALBUDGET" localSheetId="28">FALSE</definedName>
    <definedName name="QBREPORTCOMPARECOL_ANNUALBUDGET" localSheetId="29">FALSE</definedName>
    <definedName name="QBREPORTCOMPARECOL_AVGCOGS" localSheetId="5">FALSE</definedName>
    <definedName name="QBREPORTCOMPARECOL_AVGCOGS" localSheetId="6">FALSE</definedName>
    <definedName name="QBREPORTCOMPARECOL_AVGCOGS" localSheetId="7">FALSE</definedName>
    <definedName name="QBREPORTCOMPARECOL_AVGCOGS" localSheetId="8">FALSE</definedName>
    <definedName name="QBREPORTCOMPARECOL_AVGCOGS" localSheetId="9">FALSE</definedName>
    <definedName name="QBREPORTCOMPARECOL_AVGCOGS" localSheetId="10">FALSE</definedName>
    <definedName name="QBREPORTCOMPARECOL_AVGCOGS" localSheetId="11">FALSE</definedName>
    <definedName name="QBREPORTCOMPARECOL_AVGCOGS" localSheetId="12">FALSE</definedName>
    <definedName name="QBREPORTCOMPARECOL_AVGCOGS" localSheetId="13">FALSE</definedName>
    <definedName name="QBREPORTCOMPARECOL_AVGCOGS" localSheetId="14">FALSE</definedName>
    <definedName name="QBREPORTCOMPARECOL_AVGCOGS" localSheetId="15">FALSE</definedName>
    <definedName name="QBREPORTCOMPARECOL_AVGCOGS" localSheetId="16">FALSE</definedName>
    <definedName name="QBREPORTCOMPARECOL_AVGCOGS" localSheetId="17">FALSE</definedName>
    <definedName name="QBREPORTCOMPARECOL_AVGCOGS" localSheetId="19">FALSE</definedName>
    <definedName name="QBREPORTCOMPARECOL_AVGCOGS" localSheetId="20">FALSE</definedName>
    <definedName name="QBREPORTCOMPARECOL_AVGCOGS" localSheetId="21">FALSE</definedName>
    <definedName name="QBREPORTCOMPARECOL_AVGCOGS" localSheetId="22">FALSE</definedName>
    <definedName name="QBREPORTCOMPARECOL_AVGCOGS" localSheetId="23">FALSE</definedName>
    <definedName name="QBREPORTCOMPARECOL_AVGCOGS" localSheetId="24">FALSE</definedName>
    <definedName name="QBREPORTCOMPARECOL_AVGCOGS" localSheetId="25">FALSE</definedName>
    <definedName name="QBREPORTCOMPARECOL_AVGCOGS" localSheetId="26">FALSE</definedName>
    <definedName name="QBREPORTCOMPARECOL_AVGCOGS" localSheetId="27">FALSE</definedName>
    <definedName name="QBREPORTCOMPARECOL_AVGCOGS" localSheetId="28">FALSE</definedName>
    <definedName name="QBREPORTCOMPARECOL_AVGCOGS" localSheetId="29">FALSE</definedName>
    <definedName name="QBREPORTCOMPARECOL_AVGPRICE" localSheetId="5">FALSE</definedName>
    <definedName name="QBREPORTCOMPARECOL_AVGPRICE" localSheetId="6">FALSE</definedName>
    <definedName name="QBREPORTCOMPARECOL_AVGPRICE" localSheetId="7">FALSE</definedName>
    <definedName name="QBREPORTCOMPARECOL_AVGPRICE" localSheetId="8">FALSE</definedName>
    <definedName name="QBREPORTCOMPARECOL_AVGPRICE" localSheetId="9">FALSE</definedName>
    <definedName name="QBREPORTCOMPARECOL_AVGPRICE" localSheetId="10">FALSE</definedName>
    <definedName name="QBREPORTCOMPARECOL_AVGPRICE" localSheetId="11">FALSE</definedName>
    <definedName name="QBREPORTCOMPARECOL_AVGPRICE" localSheetId="12">FALSE</definedName>
    <definedName name="QBREPORTCOMPARECOL_AVGPRICE" localSheetId="13">FALSE</definedName>
    <definedName name="QBREPORTCOMPARECOL_AVGPRICE" localSheetId="14">FALSE</definedName>
    <definedName name="QBREPORTCOMPARECOL_AVGPRICE" localSheetId="15">FALSE</definedName>
    <definedName name="QBREPORTCOMPARECOL_AVGPRICE" localSheetId="16">FALSE</definedName>
    <definedName name="QBREPORTCOMPARECOL_AVGPRICE" localSheetId="17">FALSE</definedName>
    <definedName name="QBREPORTCOMPARECOL_AVGPRICE" localSheetId="19">FALSE</definedName>
    <definedName name="QBREPORTCOMPARECOL_AVGPRICE" localSheetId="20">FALSE</definedName>
    <definedName name="QBREPORTCOMPARECOL_AVGPRICE" localSheetId="21">FALSE</definedName>
    <definedName name="QBREPORTCOMPARECOL_AVGPRICE" localSheetId="22">FALSE</definedName>
    <definedName name="QBREPORTCOMPARECOL_AVGPRICE" localSheetId="23">FALSE</definedName>
    <definedName name="QBREPORTCOMPARECOL_AVGPRICE" localSheetId="24">FALSE</definedName>
    <definedName name="QBREPORTCOMPARECOL_AVGPRICE" localSheetId="25">FALSE</definedName>
    <definedName name="QBREPORTCOMPARECOL_AVGPRICE" localSheetId="26">FALSE</definedName>
    <definedName name="QBREPORTCOMPARECOL_AVGPRICE" localSheetId="27">FALSE</definedName>
    <definedName name="QBREPORTCOMPARECOL_AVGPRICE" localSheetId="28">FALSE</definedName>
    <definedName name="QBREPORTCOMPARECOL_AVGPRICE" localSheetId="29">FALSE</definedName>
    <definedName name="QBREPORTCOMPARECOL_BUDDIFF" localSheetId="5">FALSE</definedName>
    <definedName name="QBREPORTCOMPARECOL_BUDDIFF" localSheetId="6">FALSE</definedName>
    <definedName name="QBREPORTCOMPARECOL_BUDDIFF" localSheetId="7">FALSE</definedName>
    <definedName name="QBREPORTCOMPARECOL_BUDDIFF" localSheetId="8">FALSE</definedName>
    <definedName name="QBREPORTCOMPARECOL_BUDDIFF" localSheetId="9">FALSE</definedName>
    <definedName name="QBREPORTCOMPARECOL_BUDDIFF" localSheetId="10">FALSE</definedName>
    <definedName name="QBREPORTCOMPARECOL_BUDDIFF" localSheetId="11">FALSE</definedName>
    <definedName name="QBREPORTCOMPARECOL_BUDDIFF" localSheetId="12">FALSE</definedName>
    <definedName name="QBREPORTCOMPARECOL_BUDDIFF" localSheetId="13">FALSE</definedName>
    <definedName name="QBREPORTCOMPARECOL_BUDDIFF" localSheetId="14">FALSE</definedName>
    <definedName name="QBREPORTCOMPARECOL_BUDDIFF" localSheetId="15">FALSE</definedName>
    <definedName name="QBREPORTCOMPARECOL_BUDDIFF" localSheetId="16">FALSE</definedName>
    <definedName name="QBREPORTCOMPARECOL_BUDDIFF" localSheetId="17">FALSE</definedName>
    <definedName name="QBREPORTCOMPARECOL_BUDDIFF" localSheetId="19">FALSE</definedName>
    <definedName name="QBREPORTCOMPARECOL_BUDDIFF" localSheetId="20">FALSE</definedName>
    <definedName name="QBREPORTCOMPARECOL_BUDDIFF" localSheetId="21">FALSE</definedName>
    <definedName name="QBREPORTCOMPARECOL_BUDDIFF" localSheetId="22">FALSE</definedName>
    <definedName name="QBREPORTCOMPARECOL_BUDDIFF" localSheetId="23">FALSE</definedName>
    <definedName name="QBREPORTCOMPARECOL_BUDDIFF" localSheetId="24">FALSE</definedName>
    <definedName name="QBREPORTCOMPARECOL_BUDDIFF" localSheetId="25">FALSE</definedName>
    <definedName name="QBREPORTCOMPARECOL_BUDDIFF" localSheetId="26">FALSE</definedName>
    <definedName name="QBREPORTCOMPARECOL_BUDDIFF" localSheetId="27">FALSE</definedName>
    <definedName name="QBREPORTCOMPARECOL_BUDDIFF" localSheetId="28">FALSE</definedName>
    <definedName name="QBREPORTCOMPARECOL_BUDDIFF" localSheetId="29">FALSE</definedName>
    <definedName name="QBREPORTCOMPARECOL_BUDGET" localSheetId="5">FALSE</definedName>
    <definedName name="QBREPORTCOMPARECOL_BUDGET" localSheetId="6">FALSE</definedName>
    <definedName name="QBREPORTCOMPARECOL_BUDGET" localSheetId="7">FALSE</definedName>
    <definedName name="QBREPORTCOMPARECOL_BUDGET" localSheetId="8">FALSE</definedName>
    <definedName name="QBREPORTCOMPARECOL_BUDGET" localSheetId="9">FALSE</definedName>
    <definedName name="QBREPORTCOMPARECOL_BUDGET" localSheetId="10">FALSE</definedName>
    <definedName name="QBREPORTCOMPARECOL_BUDGET" localSheetId="11">FALSE</definedName>
    <definedName name="QBREPORTCOMPARECOL_BUDGET" localSheetId="12">FALSE</definedName>
    <definedName name="QBREPORTCOMPARECOL_BUDGET" localSheetId="13">FALSE</definedName>
    <definedName name="QBREPORTCOMPARECOL_BUDGET" localSheetId="14">FALSE</definedName>
    <definedName name="QBREPORTCOMPARECOL_BUDGET" localSheetId="15">FALSE</definedName>
    <definedName name="QBREPORTCOMPARECOL_BUDGET" localSheetId="16">FALSE</definedName>
    <definedName name="QBREPORTCOMPARECOL_BUDGET" localSheetId="17">FALSE</definedName>
    <definedName name="QBREPORTCOMPARECOL_BUDGET" localSheetId="19">FALSE</definedName>
    <definedName name="QBREPORTCOMPARECOL_BUDGET" localSheetId="20">FALSE</definedName>
    <definedName name="QBREPORTCOMPARECOL_BUDGET" localSheetId="21">FALSE</definedName>
    <definedName name="QBREPORTCOMPARECOL_BUDGET" localSheetId="22">FALSE</definedName>
    <definedName name="QBREPORTCOMPARECOL_BUDGET" localSheetId="23">FALSE</definedName>
    <definedName name="QBREPORTCOMPARECOL_BUDGET" localSheetId="24">FALSE</definedName>
    <definedName name="QBREPORTCOMPARECOL_BUDGET" localSheetId="25">FALSE</definedName>
    <definedName name="QBREPORTCOMPARECOL_BUDGET" localSheetId="26">FALSE</definedName>
    <definedName name="QBREPORTCOMPARECOL_BUDGET" localSheetId="27">FALSE</definedName>
    <definedName name="QBREPORTCOMPARECOL_BUDGET" localSheetId="28">FALSE</definedName>
    <definedName name="QBREPORTCOMPARECOL_BUDGET" localSheetId="29">FALSE</definedName>
    <definedName name="QBREPORTCOMPARECOL_BUDPCT" localSheetId="5">FALSE</definedName>
    <definedName name="QBREPORTCOMPARECOL_BUDPCT" localSheetId="6">FALSE</definedName>
    <definedName name="QBREPORTCOMPARECOL_BUDPCT" localSheetId="7">FALSE</definedName>
    <definedName name="QBREPORTCOMPARECOL_BUDPCT" localSheetId="8">FALSE</definedName>
    <definedName name="QBREPORTCOMPARECOL_BUDPCT" localSheetId="9">FALSE</definedName>
    <definedName name="QBREPORTCOMPARECOL_BUDPCT" localSheetId="10">FALSE</definedName>
    <definedName name="QBREPORTCOMPARECOL_BUDPCT" localSheetId="11">FALSE</definedName>
    <definedName name="QBREPORTCOMPARECOL_BUDPCT" localSheetId="12">FALSE</definedName>
    <definedName name="QBREPORTCOMPARECOL_BUDPCT" localSheetId="13">FALSE</definedName>
    <definedName name="QBREPORTCOMPARECOL_BUDPCT" localSheetId="14">FALSE</definedName>
    <definedName name="QBREPORTCOMPARECOL_BUDPCT" localSheetId="15">FALSE</definedName>
    <definedName name="QBREPORTCOMPARECOL_BUDPCT" localSheetId="16">FALSE</definedName>
    <definedName name="QBREPORTCOMPARECOL_BUDPCT" localSheetId="17">FALSE</definedName>
    <definedName name="QBREPORTCOMPARECOL_BUDPCT" localSheetId="19">FALSE</definedName>
    <definedName name="QBREPORTCOMPARECOL_BUDPCT" localSheetId="20">FALSE</definedName>
    <definedName name="QBREPORTCOMPARECOL_BUDPCT" localSheetId="21">FALSE</definedName>
    <definedName name="QBREPORTCOMPARECOL_BUDPCT" localSheetId="22">FALSE</definedName>
    <definedName name="QBREPORTCOMPARECOL_BUDPCT" localSheetId="23">FALSE</definedName>
    <definedName name="QBREPORTCOMPARECOL_BUDPCT" localSheetId="24">FALSE</definedName>
    <definedName name="QBREPORTCOMPARECOL_BUDPCT" localSheetId="25">FALSE</definedName>
    <definedName name="QBREPORTCOMPARECOL_BUDPCT" localSheetId="26">FALSE</definedName>
    <definedName name="QBREPORTCOMPARECOL_BUDPCT" localSheetId="27">FALSE</definedName>
    <definedName name="QBREPORTCOMPARECOL_BUDPCT" localSheetId="28">FALSE</definedName>
    <definedName name="QBREPORTCOMPARECOL_BUDPCT" localSheetId="29">FALSE</definedName>
    <definedName name="QBREPORTCOMPARECOL_COGS" localSheetId="5">FALSE</definedName>
    <definedName name="QBREPORTCOMPARECOL_COGS" localSheetId="6">FALSE</definedName>
    <definedName name="QBREPORTCOMPARECOL_COGS" localSheetId="7">FALSE</definedName>
    <definedName name="QBREPORTCOMPARECOL_COGS" localSheetId="8">FALSE</definedName>
    <definedName name="QBREPORTCOMPARECOL_COGS" localSheetId="9">FALSE</definedName>
    <definedName name="QBREPORTCOMPARECOL_COGS" localSheetId="10">FALSE</definedName>
    <definedName name="QBREPORTCOMPARECOL_COGS" localSheetId="11">FALSE</definedName>
    <definedName name="QBREPORTCOMPARECOL_COGS" localSheetId="12">FALSE</definedName>
    <definedName name="QBREPORTCOMPARECOL_COGS" localSheetId="13">FALSE</definedName>
    <definedName name="QBREPORTCOMPARECOL_COGS" localSheetId="14">FALSE</definedName>
    <definedName name="QBREPORTCOMPARECOL_COGS" localSheetId="15">FALSE</definedName>
    <definedName name="QBREPORTCOMPARECOL_COGS" localSheetId="16">FALSE</definedName>
    <definedName name="QBREPORTCOMPARECOL_COGS" localSheetId="17">FALSE</definedName>
    <definedName name="QBREPORTCOMPARECOL_COGS" localSheetId="19">FALSE</definedName>
    <definedName name="QBREPORTCOMPARECOL_COGS" localSheetId="20">FALSE</definedName>
    <definedName name="QBREPORTCOMPARECOL_COGS" localSheetId="21">FALSE</definedName>
    <definedName name="QBREPORTCOMPARECOL_COGS" localSheetId="22">FALSE</definedName>
    <definedName name="QBREPORTCOMPARECOL_COGS" localSheetId="23">FALSE</definedName>
    <definedName name="QBREPORTCOMPARECOL_COGS" localSheetId="24">FALSE</definedName>
    <definedName name="QBREPORTCOMPARECOL_COGS" localSheetId="25">FALSE</definedName>
    <definedName name="QBREPORTCOMPARECOL_COGS" localSheetId="26">FALSE</definedName>
    <definedName name="QBREPORTCOMPARECOL_COGS" localSheetId="27">FALSE</definedName>
    <definedName name="QBREPORTCOMPARECOL_COGS" localSheetId="28">FALSE</definedName>
    <definedName name="QBREPORTCOMPARECOL_COGS" localSheetId="29">FALSE</definedName>
    <definedName name="QBREPORTCOMPARECOL_EXCLUDEAMOUNT" localSheetId="5">FALSE</definedName>
    <definedName name="QBREPORTCOMPARECOL_EXCLUDEAMOUNT" localSheetId="6">FALSE</definedName>
    <definedName name="QBREPORTCOMPARECOL_EXCLUDEAMOUNT" localSheetId="7">FALSE</definedName>
    <definedName name="QBREPORTCOMPARECOL_EXCLUDEAMOUNT" localSheetId="8">FALSE</definedName>
    <definedName name="QBREPORTCOMPARECOL_EXCLUDEAMOUNT" localSheetId="9">FALSE</definedName>
    <definedName name="QBREPORTCOMPARECOL_EXCLUDEAMOUNT" localSheetId="10">FALSE</definedName>
    <definedName name="QBREPORTCOMPARECOL_EXCLUDEAMOUNT" localSheetId="11">FALSE</definedName>
    <definedName name="QBREPORTCOMPARECOL_EXCLUDEAMOUNT" localSheetId="12">FALSE</definedName>
    <definedName name="QBREPORTCOMPARECOL_EXCLUDEAMOUNT" localSheetId="13">FALSE</definedName>
    <definedName name="QBREPORTCOMPARECOL_EXCLUDEAMOUNT" localSheetId="14">FALSE</definedName>
    <definedName name="QBREPORTCOMPARECOL_EXCLUDEAMOUNT" localSheetId="15">FALSE</definedName>
    <definedName name="QBREPORTCOMPARECOL_EXCLUDEAMOUNT" localSheetId="16">FALSE</definedName>
    <definedName name="QBREPORTCOMPARECOL_EXCLUDEAMOUNT" localSheetId="17">FALSE</definedName>
    <definedName name="QBREPORTCOMPARECOL_EXCLUDEAMOUNT" localSheetId="19">FALSE</definedName>
    <definedName name="QBREPORTCOMPARECOL_EXCLUDEAMOUNT" localSheetId="20">FALSE</definedName>
    <definedName name="QBREPORTCOMPARECOL_EXCLUDEAMOUNT" localSheetId="21">FALSE</definedName>
    <definedName name="QBREPORTCOMPARECOL_EXCLUDEAMOUNT" localSheetId="22">FALSE</definedName>
    <definedName name="QBREPORTCOMPARECOL_EXCLUDEAMOUNT" localSheetId="23">FALSE</definedName>
    <definedName name="QBREPORTCOMPARECOL_EXCLUDEAMOUNT" localSheetId="24">FALSE</definedName>
    <definedName name="QBREPORTCOMPARECOL_EXCLUDEAMOUNT" localSheetId="25">FALSE</definedName>
    <definedName name="QBREPORTCOMPARECOL_EXCLUDEAMOUNT" localSheetId="26">FALSE</definedName>
    <definedName name="QBREPORTCOMPARECOL_EXCLUDEAMOUNT" localSheetId="27">FALSE</definedName>
    <definedName name="QBREPORTCOMPARECOL_EXCLUDEAMOUNT" localSheetId="28">FALSE</definedName>
    <definedName name="QBREPORTCOMPARECOL_EXCLUDEAMOUNT" localSheetId="29">FALSE</definedName>
    <definedName name="QBREPORTCOMPARECOL_EXCLUDECURPERIOD" localSheetId="5">FALSE</definedName>
    <definedName name="QBREPORTCOMPARECOL_EXCLUDECURPERIOD" localSheetId="6">FALSE</definedName>
    <definedName name="QBREPORTCOMPARECOL_EXCLUDECURPERIOD" localSheetId="7">FALSE</definedName>
    <definedName name="QBREPORTCOMPARECOL_EXCLUDECURPERIOD" localSheetId="8">FALSE</definedName>
    <definedName name="QBREPORTCOMPARECOL_EXCLUDECURPERIOD" localSheetId="9">FALSE</definedName>
    <definedName name="QBREPORTCOMPARECOL_EXCLUDECURPERIOD" localSheetId="10">FALSE</definedName>
    <definedName name="QBREPORTCOMPARECOL_EXCLUDECURPERIOD" localSheetId="11">FALSE</definedName>
    <definedName name="QBREPORTCOMPARECOL_EXCLUDECURPERIOD" localSheetId="12">FALSE</definedName>
    <definedName name="QBREPORTCOMPARECOL_EXCLUDECURPERIOD" localSheetId="13">FALSE</definedName>
    <definedName name="QBREPORTCOMPARECOL_EXCLUDECURPERIOD" localSheetId="14">FALSE</definedName>
    <definedName name="QBREPORTCOMPARECOL_EXCLUDECURPERIOD" localSheetId="15">FALSE</definedName>
    <definedName name="QBREPORTCOMPARECOL_EXCLUDECURPERIOD" localSheetId="16">FALSE</definedName>
    <definedName name="QBREPORTCOMPARECOL_EXCLUDECURPERIOD" localSheetId="17">FALSE</definedName>
    <definedName name="QBREPORTCOMPARECOL_EXCLUDECURPERIOD" localSheetId="19">FALSE</definedName>
    <definedName name="QBREPORTCOMPARECOL_EXCLUDECURPERIOD" localSheetId="20">FALSE</definedName>
    <definedName name="QBREPORTCOMPARECOL_EXCLUDECURPERIOD" localSheetId="21">FALSE</definedName>
    <definedName name="QBREPORTCOMPARECOL_EXCLUDECURPERIOD" localSheetId="22">FALSE</definedName>
    <definedName name="QBREPORTCOMPARECOL_EXCLUDECURPERIOD" localSheetId="23">FALSE</definedName>
    <definedName name="QBREPORTCOMPARECOL_EXCLUDECURPERIOD" localSheetId="24">FALSE</definedName>
    <definedName name="QBREPORTCOMPARECOL_EXCLUDECURPERIOD" localSheetId="25">FALSE</definedName>
    <definedName name="QBREPORTCOMPARECOL_EXCLUDECURPERIOD" localSheetId="26">FALSE</definedName>
    <definedName name="QBREPORTCOMPARECOL_EXCLUDECURPERIOD" localSheetId="27">FALSE</definedName>
    <definedName name="QBREPORTCOMPARECOL_EXCLUDECURPERIOD" localSheetId="28">FALSE</definedName>
    <definedName name="QBREPORTCOMPARECOL_EXCLUDECURPERIOD" localSheetId="29">FALSE</definedName>
    <definedName name="QBREPORTCOMPARECOL_FORECAST" localSheetId="5">FALSE</definedName>
    <definedName name="QBREPORTCOMPARECOL_FORECAST" localSheetId="6">FALSE</definedName>
    <definedName name="QBREPORTCOMPARECOL_FORECAST" localSheetId="7">FALSE</definedName>
    <definedName name="QBREPORTCOMPARECOL_FORECAST" localSheetId="8">FALSE</definedName>
    <definedName name="QBREPORTCOMPARECOL_FORECAST" localSheetId="9">FALSE</definedName>
    <definedName name="QBREPORTCOMPARECOL_FORECAST" localSheetId="10">FALSE</definedName>
    <definedName name="QBREPORTCOMPARECOL_FORECAST" localSheetId="11">FALSE</definedName>
    <definedName name="QBREPORTCOMPARECOL_FORECAST" localSheetId="12">FALSE</definedName>
    <definedName name="QBREPORTCOMPARECOL_FORECAST" localSheetId="13">FALSE</definedName>
    <definedName name="QBREPORTCOMPARECOL_FORECAST" localSheetId="14">FALSE</definedName>
    <definedName name="QBREPORTCOMPARECOL_FORECAST" localSheetId="15">FALSE</definedName>
    <definedName name="QBREPORTCOMPARECOL_FORECAST" localSheetId="16">FALSE</definedName>
    <definedName name="QBREPORTCOMPARECOL_FORECAST" localSheetId="17">FALSE</definedName>
    <definedName name="QBREPORTCOMPARECOL_FORECAST" localSheetId="19">FALSE</definedName>
    <definedName name="QBREPORTCOMPARECOL_FORECAST" localSheetId="20">FALSE</definedName>
    <definedName name="QBREPORTCOMPARECOL_FORECAST" localSheetId="21">FALSE</definedName>
    <definedName name="QBREPORTCOMPARECOL_FORECAST" localSheetId="22">FALSE</definedName>
    <definedName name="QBREPORTCOMPARECOL_FORECAST" localSheetId="23">FALSE</definedName>
    <definedName name="QBREPORTCOMPARECOL_FORECAST" localSheetId="24">FALSE</definedName>
    <definedName name="QBREPORTCOMPARECOL_FORECAST" localSheetId="25">FALSE</definedName>
    <definedName name="QBREPORTCOMPARECOL_FORECAST" localSheetId="26">FALSE</definedName>
    <definedName name="QBREPORTCOMPARECOL_FORECAST" localSheetId="27">FALSE</definedName>
    <definedName name="QBREPORTCOMPARECOL_FORECAST" localSheetId="28">FALSE</definedName>
    <definedName name="QBREPORTCOMPARECOL_FORECAST" localSheetId="29">FALSE</definedName>
    <definedName name="QBREPORTCOMPARECOL_GROSSMARGIN" localSheetId="5">FALSE</definedName>
    <definedName name="QBREPORTCOMPARECOL_GROSSMARGIN" localSheetId="6">FALSE</definedName>
    <definedName name="QBREPORTCOMPARECOL_GROSSMARGIN" localSheetId="7">FALSE</definedName>
    <definedName name="QBREPORTCOMPARECOL_GROSSMARGIN" localSheetId="8">FALSE</definedName>
    <definedName name="QBREPORTCOMPARECOL_GROSSMARGIN" localSheetId="9">FALSE</definedName>
    <definedName name="QBREPORTCOMPARECOL_GROSSMARGIN" localSheetId="10">FALSE</definedName>
    <definedName name="QBREPORTCOMPARECOL_GROSSMARGIN" localSheetId="11">FALSE</definedName>
    <definedName name="QBREPORTCOMPARECOL_GROSSMARGIN" localSheetId="12">FALSE</definedName>
    <definedName name="QBREPORTCOMPARECOL_GROSSMARGIN" localSheetId="13">FALSE</definedName>
    <definedName name="QBREPORTCOMPARECOL_GROSSMARGIN" localSheetId="14">FALSE</definedName>
    <definedName name="QBREPORTCOMPARECOL_GROSSMARGIN" localSheetId="15">FALSE</definedName>
    <definedName name="QBREPORTCOMPARECOL_GROSSMARGIN" localSheetId="16">FALSE</definedName>
    <definedName name="QBREPORTCOMPARECOL_GROSSMARGIN" localSheetId="17">FALSE</definedName>
    <definedName name="QBREPORTCOMPARECOL_GROSSMARGIN" localSheetId="19">FALSE</definedName>
    <definedName name="QBREPORTCOMPARECOL_GROSSMARGIN" localSheetId="20">FALSE</definedName>
    <definedName name="QBREPORTCOMPARECOL_GROSSMARGIN" localSheetId="21">FALSE</definedName>
    <definedName name="QBREPORTCOMPARECOL_GROSSMARGIN" localSheetId="22">FALSE</definedName>
    <definedName name="QBREPORTCOMPARECOL_GROSSMARGIN" localSheetId="23">FALSE</definedName>
    <definedName name="QBREPORTCOMPARECOL_GROSSMARGIN" localSheetId="24">FALSE</definedName>
    <definedName name="QBREPORTCOMPARECOL_GROSSMARGIN" localSheetId="25">FALSE</definedName>
    <definedName name="QBREPORTCOMPARECOL_GROSSMARGIN" localSheetId="26">FALSE</definedName>
    <definedName name="QBREPORTCOMPARECOL_GROSSMARGIN" localSheetId="27">FALSE</definedName>
    <definedName name="QBREPORTCOMPARECOL_GROSSMARGIN" localSheetId="28">FALSE</definedName>
    <definedName name="QBREPORTCOMPARECOL_GROSSMARGIN" localSheetId="29">FALSE</definedName>
    <definedName name="QBREPORTCOMPARECOL_GROSSMARGINPCT" localSheetId="5">FALSE</definedName>
    <definedName name="QBREPORTCOMPARECOL_GROSSMARGINPCT" localSheetId="6">FALSE</definedName>
    <definedName name="QBREPORTCOMPARECOL_GROSSMARGINPCT" localSheetId="7">FALSE</definedName>
    <definedName name="QBREPORTCOMPARECOL_GROSSMARGINPCT" localSheetId="8">FALSE</definedName>
    <definedName name="QBREPORTCOMPARECOL_GROSSMARGINPCT" localSheetId="9">FALSE</definedName>
    <definedName name="QBREPORTCOMPARECOL_GROSSMARGINPCT" localSheetId="10">FALSE</definedName>
    <definedName name="QBREPORTCOMPARECOL_GROSSMARGINPCT" localSheetId="11">FALSE</definedName>
    <definedName name="QBREPORTCOMPARECOL_GROSSMARGINPCT" localSheetId="12">FALSE</definedName>
    <definedName name="QBREPORTCOMPARECOL_GROSSMARGINPCT" localSheetId="13">FALSE</definedName>
    <definedName name="QBREPORTCOMPARECOL_GROSSMARGINPCT" localSheetId="14">FALSE</definedName>
    <definedName name="QBREPORTCOMPARECOL_GROSSMARGINPCT" localSheetId="15">FALSE</definedName>
    <definedName name="QBREPORTCOMPARECOL_GROSSMARGINPCT" localSheetId="16">FALSE</definedName>
    <definedName name="QBREPORTCOMPARECOL_GROSSMARGINPCT" localSheetId="17">FALSE</definedName>
    <definedName name="QBREPORTCOMPARECOL_GROSSMARGINPCT" localSheetId="19">FALSE</definedName>
    <definedName name="QBREPORTCOMPARECOL_GROSSMARGINPCT" localSheetId="20">FALSE</definedName>
    <definedName name="QBREPORTCOMPARECOL_GROSSMARGINPCT" localSheetId="21">FALSE</definedName>
    <definedName name="QBREPORTCOMPARECOL_GROSSMARGINPCT" localSheetId="22">FALSE</definedName>
    <definedName name="QBREPORTCOMPARECOL_GROSSMARGINPCT" localSheetId="23">FALSE</definedName>
    <definedName name="QBREPORTCOMPARECOL_GROSSMARGINPCT" localSheetId="24">FALSE</definedName>
    <definedName name="QBREPORTCOMPARECOL_GROSSMARGINPCT" localSheetId="25">FALSE</definedName>
    <definedName name="QBREPORTCOMPARECOL_GROSSMARGINPCT" localSheetId="26">FALSE</definedName>
    <definedName name="QBREPORTCOMPARECOL_GROSSMARGINPCT" localSheetId="27">FALSE</definedName>
    <definedName name="QBREPORTCOMPARECOL_GROSSMARGINPCT" localSheetId="28">FALSE</definedName>
    <definedName name="QBREPORTCOMPARECOL_GROSSMARGINPCT" localSheetId="29">FALSE</definedName>
    <definedName name="QBREPORTCOMPARECOL_HOURS" localSheetId="5">FALSE</definedName>
    <definedName name="QBREPORTCOMPARECOL_HOURS" localSheetId="6">FALSE</definedName>
    <definedName name="QBREPORTCOMPARECOL_HOURS" localSheetId="7">FALSE</definedName>
    <definedName name="QBREPORTCOMPARECOL_HOURS" localSheetId="8">FALSE</definedName>
    <definedName name="QBREPORTCOMPARECOL_HOURS" localSheetId="9">FALSE</definedName>
    <definedName name="QBREPORTCOMPARECOL_HOURS" localSheetId="10">FALSE</definedName>
    <definedName name="QBREPORTCOMPARECOL_HOURS" localSheetId="11">FALSE</definedName>
    <definedName name="QBREPORTCOMPARECOL_HOURS" localSheetId="12">FALSE</definedName>
    <definedName name="QBREPORTCOMPARECOL_HOURS" localSheetId="13">FALSE</definedName>
    <definedName name="QBREPORTCOMPARECOL_HOURS" localSheetId="14">FALSE</definedName>
    <definedName name="QBREPORTCOMPARECOL_HOURS" localSheetId="15">FALSE</definedName>
    <definedName name="QBREPORTCOMPARECOL_HOURS" localSheetId="16">FALSE</definedName>
    <definedName name="QBREPORTCOMPARECOL_HOURS" localSheetId="17">FALSE</definedName>
    <definedName name="QBREPORTCOMPARECOL_HOURS" localSheetId="19">FALSE</definedName>
    <definedName name="QBREPORTCOMPARECOL_HOURS" localSheetId="20">FALSE</definedName>
    <definedName name="QBREPORTCOMPARECOL_HOURS" localSheetId="21">FALSE</definedName>
    <definedName name="QBREPORTCOMPARECOL_HOURS" localSheetId="22">FALSE</definedName>
    <definedName name="QBREPORTCOMPARECOL_HOURS" localSheetId="23">FALSE</definedName>
    <definedName name="QBREPORTCOMPARECOL_HOURS" localSheetId="24">FALSE</definedName>
    <definedName name="QBREPORTCOMPARECOL_HOURS" localSheetId="25">FALSE</definedName>
    <definedName name="QBREPORTCOMPARECOL_HOURS" localSheetId="26">FALSE</definedName>
    <definedName name="QBREPORTCOMPARECOL_HOURS" localSheetId="27">FALSE</definedName>
    <definedName name="QBREPORTCOMPARECOL_HOURS" localSheetId="28">FALSE</definedName>
    <definedName name="QBREPORTCOMPARECOL_HOURS" localSheetId="29">FALSE</definedName>
    <definedName name="QBREPORTCOMPARECOL_PCTCOL" localSheetId="5">FALSE</definedName>
    <definedName name="QBREPORTCOMPARECOL_PCTCOL" localSheetId="6">FALSE</definedName>
    <definedName name="QBREPORTCOMPARECOL_PCTCOL" localSheetId="7">FALSE</definedName>
    <definedName name="QBREPORTCOMPARECOL_PCTCOL" localSheetId="8">FALSE</definedName>
    <definedName name="QBREPORTCOMPARECOL_PCTCOL" localSheetId="9">FALSE</definedName>
    <definedName name="QBREPORTCOMPARECOL_PCTCOL" localSheetId="10">FALSE</definedName>
    <definedName name="QBREPORTCOMPARECOL_PCTCOL" localSheetId="11">FALSE</definedName>
    <definedName name="QBREPORTCOMPARECOL_PCTCOL" localSheetId="12">FALSE</definedName>
    <definedName name="QBREPORTCOMPARECOL_PCTCOL" localSheetId="13">FALSE</definedName>
    <definedName name="QBREPORTCOMPARECOL_PCTCOL" localSheetId="14">FALSE</definedName>
    <definedName name="QBREPORTCOMPARECOL_PCTCOL" localSheetId="15">FALSE</definedName>
    <definedName name="QBREPORTCOMPARECOL_PCTCOL" localSheetId="16">FALSE</definedName>
    <definedName name="QBREPORTCOMPARECOL_PCTCOL" localSheetId="17">FALSE</definedName>
    <definedName name="QBREPORTCOMPARECOL_PCTCOL" localSheetId="19">FALSE</definedName>
    <definedName name="QBREPORTCOMPARECOL_PCTCOL" localSheetId="20">FALSE</definedName>
    <definedName name="QBREPORTCOMPARECOL_PCTCOL" localSheetId="21">FALSE</definedName>
    <definedName name="QBREPORTCOMPARECOL_PCTCOL" localSheetId="22">FALSE</definedName>
    <definedName name="QBREPORTCOMPARECOL_PCTCOL" localSheetId="23">FALSE</definedName>
    <definedName name="QBREPORTCOMPARECOL_PCTCOL" localSheetId="24">FALSE</definedName>
    <definedName name="QBREPORTCOMPARECOL_PCTCOL" localSheetId="25">FALSE</definedName>
    <definedName name="QBREPORTCOMPARECOL_PCTCOL" localSheetId="26">FALSE</definedName>
    <definedName name="QBREPORTCOMPARECOL_PCTCOL" localSheetId="27">FALSE</definedName>
    <definedName name="QBREPORTCOMPARECOL_PCTCOL" localSheetId="28">FALSE</definedName>
    <definedName name="QBREPORTCOMPARECOL_PCTCOL" localSheetId="29">FALSE</definedName>
    <definedName name="QBREPORTCOMPARECOL_PCTEXPENSE" localSheetId="5">FALSE</definedName>
    <definedName name="QBREPORTCOMPARECOL_PCTEXPENSE" localSheetId="6">FALSE</definedName>
    <definedName name="QBREPORTCOMPARECOL_PCTEXPENSE" localSheetId="7">FALSE</definedName>
    <definedName name="QBREPORTCOMPARECOL_PCTEXPENSE" localSheetId="8">FALSE</definedName>
    <definedName name="QBREPORTCOMPARECOL_PCTEXPENSE" localSheetId="9">FALSE</definedName>
    <definedName name="QBREPORTCOMPARECOL_PCTEXPENSE" localSheetId="10">FALSE</definedName>
    <definedName name="QBREPORTCOMPARECOL_PCTEXPENSE" localSheetId="11">FALSE</definedName>
    <definedName name="QBREPORTCOMPARECOL_PCTEXPENSE" localSheetId="12">FALSE</definedName>
    <definedName name="QBREPORTCOMPARECOL_PCTEXPENSE" localSheetId="13">FALSE</definedName>
    <definedName name="QBREPORTCOMPARECOL_PCTEXPENSE" localSheetId="14">FALSE</definedName>
    <definedName name="QBREPORTCOMPARECOL_PCTEXPENSE" localSheetId="15">FALSE</definedName>
    <definedName name="QBREPORTCOMPARECOL_PCTEXPENSE" localSheetId="16">FALSE</definedName>
    <definedName name="QBREPORTCOMPARECOL_PCTEXPENSE" localSheetId="17">FALSE</definedName>
    <definedName name="QBREPORTCOMPARECOL_PCTEXPENSE" localSheetId="19">FALSE</definedName>
    <definedName name="QBREPORTCOMPARECOL_PCTEXPENSE" localSheetId="20">FALSE</definedName>
    <definedName name="QBREPORTCOMPARECOL_PCTEXPENSE" localSheetId="21">FALSE</definedName>
    <definedName name="QBREPORTCOMPARECOL_PCTEXPENSE" localSheetId="22">FALSE</definedName>
    <definedName name="QBREPORTCOMPARECOL_PCTEXPENSE" localSheetId="23">FALSE</definedName>
    <definedName name="QBREPORTCOMPARECOL_PCTEXPENSE" localSheetId="24">FALSE</definedName>
    <definedName name="QBREPORTCOMPARECOL_PCTEXPENSE" localSheetId="25">FALSE</definedName>
    <definedName name="QBREPORTCOMPARECOL_PCTEXPENSE" localSheetId="26">FALSE</definedName>
    <definedName name="QBREPORTCOMPARECOL_PCTEXPENSE" localSheetId="27">FALSE</definedName>
    <definedName name="QBREPORTCOMPARECOL_PCTEXPENSE" localSheetId="28">FALSE</definedName>
    <definedName name="QBREPORTCOMPARECOL_PCTEXPENSE" localSheetId="29">FALSE</definedName>
    <definedName name="QBREPORTCOMPARECOL_PCTINCOME" localSheetId="5">FALSE</definedName>
    <definedName name="QBREPORTCOMPARECOL_PCTINCOME" localSheetId="6">FALSE</definedName>
    <definedName name="QBREPORTCOMPARECOL_PCTINCOME" localSheetId="7">FALSE</definedName>
    <definedName name="QBREPORTCOMPARECOL_PCTINCOME" localSheetId="8">FALSE</definedName>
    <definedName name="QBREPORTCOMPARECOL_PCTINCOME" localSheetId="9">FALSE</definedName>
    <definedName name="QBREPORTCOMPARECOL_PCTINCOME" localSheetId="10">FALSE</definedName>
    <definedName name="QBREPORTCOMPARECOL_PCTINCOME" localSheetId="11">FALSE</definedName>
    <definedName name="QBREPORTCOMPARECOL_PCTINCOME" localSheetId="12">FALSE</definedName>
    <definedName name="QBREPORTCOMPARECOL_PCTINCOME" localSheetId="13">FALSE</definedName>
    <definedName name="QBREPORTCOMPARECOL_PCTINCOME" localSheetId="14">FALSE</definedName>
    <definedName name="QBREPORTCOMPARECOL_PCTINCOME" localSheetId="15">FALSE</definedName>
    <definedName name="QBREPORTCOMPARECOL_PCTINCOME" localSheetId="16">FALSE</definedName>
    <definedName name="QBREPORTCOMPARECOL_PCTINCOME" localSheetId="17">FALSE</definedName>
    <definedName name="QBREPORTCOMPARECOL_PCTINCOME" localSheetId="19">FALSE</definedName>
    <definedName name="QBREPORTCOMPARECOL_PCTINCOME" localSheetId="20">FALSE</definedName>
    <definedName name="QBREPORTCOMPARECOL_PCTINCOME" localSheetId="21">FALSE</definedName>
    <definedName name="QBREPORTCOMPARECOL_PCTINCOME" localSheetId="22">FALSE</definedName>
    <definedName name="QBREPORTCOMPARECOL_PCTINCOME" localSheetId="23">FALSE</definedName>
    <definedName name="QBREPORTCOMPARECOL_PCTINCOME" localSheetId="24">FALSE</definedName>
    <definedName name="QBREPORTCOMPARECOL_PCTINCOME" localSheetId="25">FALSE</definedName>
    <definedName name="QBREPORTCOMPARECOL_PCTINCOME" localSheetId="26">FALSE</definedName>
    <definedName name="QBREPORTCOMPARECOL_PCTINCOME" localSheetId="27">FALSE</definedName>
    <definedName name="QBREPORTCOMPARECOL_PCTINCOME" localSheetId="28">FALSE</definedName>
    <definedName name="QBREPORTCOMPARECOL_PCTINCOME" localSheetId="29">FALSE</definedName>
    <definedName name="QBREPORTCOMPARECOL_PCTOFSALES" localSheetId="5">FALSE</definedName>
    <definedName name="QBREPORTCOMPARECOL_PCTOFSALES" localSheetId="6">FALSE</definedName>
    <definedName name="QBREPORTCOMPARECOL_PCTOFSALES" localSheetId="7">FALSE</definedName>
    <definedName name="QBREPORTCOMPARECOL_PCTOFSALES" localSheetId="8">FALSE</definedName>
    <definedName name="QBREPORTCOMPARECOL_PCTOFSALES" localSheetId="9">FALSE</definedName>
    <definedName name="QBREPORTCOMPARECOL_PCTOFSALES" localSheetId="10">FALSE</definedName>
    <definedName name="QBREPORTCOMPARECOL_PCTOFSALES" localSheetId="11">FALSE</definedName>
    <definedName name="QBREPORTCOMPARECOL_PCTOFSALES" localSheetId="12">FALSE</definedName>
    <definedName name="QBREPORTCOMPARECOL_PCTOFSALES" localSheetId="13">FALSE</definedName>
    <definedName name="QBREPORTCOMPARECOL_PCTOFSALES" localSheetId="14">FALSE</definedName>
    <definedName name="QBREPORTCOMPARECOL_PCTOFSALES" localSheetId="15">FALSE</definedName>
    <definedName name="QBREPORTCOMPARECOL_PCTOFSALES" localSheetId="16">FALSE</definedName>
    <definedName name="QBREPORTCOMPARECOL_PCTOFSALES" localSheetId="17">FALSE</definedName>
    <definedName name="QBREPORTCOMPARECOL_PCTOFSALES" localSheetId="19">FALSE</definedName>
    <definedName name="QBREPORTCOMPARECOL_PCTOFSALES" localSheetId="20">FALSE</definedName>
    <definedName name="QBREPORTCOMPARECOL_PCTOFSALES" localSheetId="21">FALSE</definedName>
    <definedName name="QBREPORTCOMPARECOL_PCTOFSALES" localSheetId="22">FALSE</definedName>
    <definedName name="QBREPORTCOMPARECOL_PCTOFSALES" localSheetId="23">FALSE</definedName>
    <definedName name="QBREPORTCOMPARECOL_PCTOFSALES" localSheetId="24">FALSE</definedName>
    <definedName name="QBREPORTCOMPARECOL_PCTOFSALES" localSheetId="25">FALSE</definedName>
    <definedName name="QBREPORTCOMPARECOL_PCTOFSALES" localSheetId="26">FALSE</definedName>
    <definedName name="QBREPORTCOMPARECOL_PCTOFSALES" localSheetId="27">FALSE</definedName>
    <definedName name="QBREPORTCOMPARECOL_PCTOFSALES" localSheetId="28">FALSE</definedName>
    <definedName name="QBREPORTCOMPARECOL_PCTOFSALES" localSheetId="29">FALSE</definedName>
    <definedName name="QBREPORTCOMPARECOL_PCTROW" localSheetId="5">FALSE</definedName>
    <definedName name="QBREPORTCOMPARECOL_PCTROW" localSheetId="6">FALSE</definedName>
    <definedName name="QBREPORTCOMPARECOL_PCTROW" localSheetId="7">FALSE</definedName>
    <definedName name="QBREPORTCOMPARECOL_PCTROW" localSheetId="8">FALSE</definedName>
    <definedName name="QBREPORTCOMPARECOL_PCTROW" localSheetId="9">FALSE</definedName>
    <definedName name="QBREPORTCOMPARECOL_PCTROW" localSheetId="10">FALSE</definedName>
    <definedName name="QBREPORTCOMPARECOL_PCTROW" localSheetId="11">FALSE</definedName>
    <definedName name="QBREPORTCOMPARECOL_PCTROW" localSheetId="12">FALSE</definedName>
    <definedName name="QBREPORTCOMPARECOL_PCTROW" localSheetId="13">FALSE</definedName>
    <definedName name="QBREPORTCOMPARECOL_PCTROW" localSheetId="14">FALSE</definedName>
    <definedName name="QBREPORTCOMPARECOL_PCTROW" localSheetId="15">FALSE</definedName>
    <definedName name="QBREPORTCOMPARECOL_PCTROW" localSheetId="16">FALSE</definedName>
    <definedName name="QBREPORTCOMPARECOL_PCTROW" localSheetId="17">FALSE</definedName>
    <definedName name="QBREPORTCOMPARECOL_PCTROW" localSheetId="19">FALSE</definedName>
    <definedName name="QBREPORTCOMPARECOL_PCTROW" localSheetId="20">FALSE</definedName>
    <definedName name="QBREPORTCOMPARECOL_PCTROW" localSheetId="21">FALSE</definedName>
    <definedName name="QBREPORTCOMPARECOL_PCTROW" localSheetId="22">FALSE</definedName>
    <definedName name="QBREPORTCOMPARECOL_PCTROW" localSheetId="23">FALSE</definedName>
    <definedName name="QBREPORTCOMPARECOL_PCTROW" localSheetId="24">FALSE</definedName>
    <definedName name="QBREPORTCOMPARECOL_PCTROW" localSheetId="25">FALSE</definedName>
    <definedName name="QBREPORTCOMPARECOL_PCTROW" localSheetId="26">FALSE</definedName>
    <definedName name="QBREPORTCOMPARECOL_PCTROW" localSheetId="27">FALSE</definedName>
    <definedName name="QBREPORTCOMPARECOL_PCTROW" localSheetId="28">FALSE</definedName>
    <definedName name="QBREPORTCOMPARECOL_PCTROW" localSheetId="29">FALSE</definedName>
    <definedName name="QBREPORTCOMPARECOL_PPDIFF" localSheetId="5">FALSE</definedName>
    <definedName name="QBREPORTCOMPARECOL_PPDIFF" localSheetId="6">FALSE</definedName>
    <definedName name="QBREPORTCOMPARECOL_PPDIFF" localSheetId="7">FALSE</definedName>
    <definedName name="QBREPORTCOMPARECOL_PPDIFF" localSheetId="8">FALSE</definedName>
    <definedName name="QBREPORTCOMPARECOL_PPDIFF" localSheetId="9">FALSE</definedName>
    <definedName name="QBREPORTCOMPARECOL_PPDIFF" localSheetId="10">FALSE</definedName>
    <definedName name="QBREPORTCOMPARECOL_PPDIFF" localSheetId="11">FALSE</definedName>
    <definedName name="QBREPORTCOMPARECOL_PPDIFF" localSheetId="12">FALSE</definedName>
    <definedName name="QBREPORTCOMPARECOL_PPDIFF" localSheetId="13">FALSE</definedName>
    <definedName name="QBREPORTCOMPARECOL_PPDIFF" localSheetId="14">FALSE</definedName>
    <definedName name="QBREPORTCOMPARECOL_PPDIFF" localSheetId="15">FALSE</definedName>
    <definedName name="QBREPORTCOMPARECOL_PPDIFF" localSheetId="16">FALSE</definedName>
    <definedName name="QBREPORTCOMPARECOL_PPDIFF" localSheetId="17">FALSE</definedName>
    <definedName name="QBREPORTCOMPARECOL_PPDIFF" localSheetId="19">FALSE</definedName>
    <definedName name="QBREPORTCOMPARECOL_PPDIFF" localSheetId="20">FALSE</definedName>
    <definedName name="QBREPORTCOMPARECOL_PPDIFF" localSheetId="21">FALSE</definedName>
    <definedName name="QBREPORTCOMPARECOL_PPDIFF" localSheetId="22">FALSE</definedName>
    <definedName name="QBREPORTCOMPARECOL_PPDIFF" localSheetId="23">FALSE</definedName>
    <definedName name="QBREPORTCOMPARECOL_PPDIFF" localSheetId="24">FALSE</definedName>
    <definedName name="QBREPORTCOMPARECOL_PPDIFF" localSheetId="25">FALSE</definedName>
    <definedName name="QBREPORTCOMPARECOL_PPDIFF" localSheetId="26">FALSE</definedName>
    <definedName name="QBREPORTCOMPARECOL_PPDIFF" localSheetId="27">FALSE</definedName>
    <definedName name="QBREPORTCOMPARECOL_PPDIFF" localSheetId="28">FALSE</definedName>
    <definedName name="QBREPORTCOMPARECOL_PPDIFF" localSheetId="29">FALSE</definedName>
    <definedName name="QBREPORTCOMPARECOL_PPPCT" localSheetId="5">FALSE</definedName>
    <definedName name="QBREPORTCOMPARECOL_PPPCT" localSheetId="6">FALSE</definedName>
    <definedName name="QBREPORTCOMPARECOL_PPPCT" localSheetId="7">FALSE</definedName>
    <definedName name="QBREPORTCOMPARECOL_PPPCT" localSheetId="8">FALSE</definedName>
    <definedName name="QBREPORTCOMPARECOL_PPPCT" localSheetId="9">FALSE</definedName>
    <definedName name="QBREPORTCOMPARECOL_PPPCT" localSheetId="10">FALSE</definedName>
    <definedName name="QBREPORTCOMPARECOL_PPPCT" localSheetId="11">FALSE</definedName>
    <definedName name="QBREPORTCOMPARECOL_PPPCT" localSheetId="12">FALSE</definedName>
    <definedName name="QBREPORTCOMPARECOL_PPPCT" localSheetId="13">FALSE</definedName>
    <definedName name="QBREPORTCOMPARECOL_PPPCT" localSheetId="14">FALSE</definedName>
    <definedName name="QBREPORTCOMPARECOL_PPPCT" localSheetId="15">FALSE</definedName>
    <definedName name="QBREPORTCOMPARECOL_PPPCT" localSheetId="16">FALSE</definedName>
    <definedName name="QBREPORTCOMPARECOL_PPPCT" localSheetId="17">FALSE</definedName>
    <definedName name="QBREPORTCOMPARECOL_PPPCT" localSheetId="19">FALSE</definedName>
    <definedName name="QBREPORTCOMPARECOL_PPPCT" localSheetId="20">FALSE</definedName>
    <definedName name="QBREPORTCOMPARECOL_PPPCT" localSheetId="21">FALSE</definedName>
    <definedName name="QBREPORTCOMPARECOL_PPPCT" localSheetId="22">FALSE</definedName>
    <definedName name="QBREPORTCOMPARECOL_PPPCT" localSheetId="23">FALSE</definedName>
    <definedName name="QBREPORTCOMPARECOL_PPPCT" localSheetId="24">FALSE</definedName>
    <definedName name="QBREPORTCOMPARECOL_PPPCT" localSheetId="25">FALSE</definedName>
    <definedName name="QBREPORTCOMPARECOL_PPPCT" localSheetId="26">FALSE</definedName>
    <definedName name="QBREPORTCOMPARECOL_PPPCT" localSheetId="27">FALSE</definedName>
    <definedName name="QBREPORTCOMPARECOL_PPPCT" localSheetId="28">FALSE</definedName>
    <definedName name="QBREPORTCOMPARECOL_PPPCT" localSheetId="29">FALSE</definedName>
    <definedName name="QBREPORTCOMPARECOL_PREVPERIOD" localSheetId="5">FALSE</definedName>
    <definedName name="QBREPORTCOMPARECOL_PREVPERIOD" localSheetId="6">FALSE</definedName>
    <definedName name="QBREPORTCOMPARECOL_PREVPERIOD" localSheetId="7">FALSE</definedName>
    <definedName name="QBREPORTCOMPARECOL_PREVPERIOD" localSheetId="8">FALSE</definedName>
    <definedName name="QBREPORTCOMPARECOL_PREVPERIOD" localSheetId="9">FALSE</definedName>
    <definedName name="QBREPORTCOMPARECOL_PREVPERIOD" localSheetId="10">FALSE</definedName>
    <definedName name="QBREPORTCOMPARECOL_PREVPERIOD" localSheetId="11">FALSE</definedName>
    <definedName name="QBREPORTCOMPARECOL_PREVPERIOD" localSheetId="12">FALSE</definedName>
    <definedName name="QBREPORTCOMPARECOL_PREVPERIOD" localSheetId="13">FALSE</definedName>
    <definedName name="QBREPORTCOMPARECOL_PREVPERIOD" localSheetId="14">FALSE</definedName>
    <definedName name="QBREPORTCOMPARECOL_PREVPERIOD" localSheetId="15">FALSE</definedName>
    <definedName name="QBREPORTCOMPARECOL_PREVPERIOD" localSheetId="16">FALSE</definedName>
    <definedName name="QBREPORTCOMPARECOL_PREVPERIOD" localSheetId="17">FALSE</definedName>
    <definedName name="QBREPORTCOMPARECOL_PREVPERIOD" localSheetId="19">FALSE</definedName>
    <definedName name="QBREPORTCOMPARECOL_PREVPERIOD" localSheetId="20">FALSE</definedName>
    <definedName name="QBREPORTCOMPARECOL_PREVPERIOD" localSheetId="21">FALSE</definedName>
    <definedName name="QBREPORTCOMPARECOL_PREVPERIOD" localSheetId="22">FALSE</definedName>
    <definedName name="QBREPORTCOMPARECOL_PREVPERIOD" localSheetId="23">FALSE</definedName>
    <definedName name="QBREPORTCOMPARECOL_PREVPERIOD" localSheetId="24">FALSE</definedName>
    <definedName name="QBREPORTCOMPARECOL_PREVPERIOD" localSheetId="25">FALSE</definedName>
    <definedName name="QBREPORTCOMPARECOL_PREVPERIOD" localSheetId="26">FALSE</definedName>
    <definedName name="QBREPORTCOMPARECOL_PREVPERIOD" localSheetId="27">FALSE</definedName>
    <definedName name="QBREPORTCOMPARECOL_PREVPERIOD" localSheetId="28">FALSE</definedName>
    <definedName name="QBREPORTCOMPARECOL_PREVPERIOD" localSheetId="29">FALSE</definedName>
    <definedName name="QBREPORTCOMPARECOL_PREVYEAR" localSheetId="5">FALSE</definedName>
    <definedName name="QBREPORTCOMPARECOL_PREVYEAR" localSheetId="6">FALSE</definedName>
    <definedName name="QBREPORTCOMPARECOL_PREVYEAR" localSheetId="7">FALSE</definedName>
    <definedName name="QBREPORTCOMPARECOL_PREVYEAR" localSheetId="8">FALSE</definedName>
    <definedName name="QBREPORTCOMPARECOL_PREVYEAR" localSheetId="9">FALSE</definedName>
    <definedName name="QBREPORTCOMPARECOL_PREVYEAR" localSheetId="10">FALSE</definedName>
    <definedName name="QBREPORTCOMPARECOL_PREVYEAR" localSheetId="11">FALSE</definedName>
    <definedName name="QBREPORTCOMPARECOL_PREVYEAR" localSheetId="12">FALSE</definedName>
    <definedName name="QBREPORTCOMPARECOL_PREVYEAR" localSheetId="13">FALSE</definedName>
    <definedName name="QBREPORTCOMPARECOL_PREVYEAR" localSheetId="14">FALSE</definedName>
    <definedName name="QBREPORTCOMPARECOL_PREVYEAR" localSheetId="15">FALSE</definedName>
    <definedName name="QBREPORTCOMPARECOL_PREVYEAR" localSheetId="16">FALSE</definedName>
    <definedName name="QBREPORTCOMPARECOL_PREVYEAR" localSheetId="17">FALSE</definedName>
    <definedName name="QBREPORTCOMPARECOL_PREVYEAR" localSheetId="19">FALSE</definedName>
    <definedName name="QBREPORTCOMPARECOL_PREVYEAR" localSheetId="20">FALSE</definedName>
    <definedName name="QBREPORTCOMPARECOL_PREVYEAR" localSheetId="21">FALSE</definedName>
    <definedName name="QBREPORTCOMPARECOL_PREVYEAR" localSheetId="22">FALSE</definedName>
    <definedName name="QBREPORTCOMPARECOL_PREVYEAR" localSheetId="23">FALSE</definedName>
    <definedName name="QBREPORTCOMPARECOL_PREVYEAR" localSheetId="24">FALSE</definedName>
    <definedName name="QBREPORTCOMPARECOL_PREVYEAR" localSheetId="25">FALSE</definedName>
    <definedName name="QBREPORTCOMPARECOL_PREVYEAR" localSheetId="26">FALSE</definedName>
    <definedName name="QBREPORTCOMPARECOL_PREVYEAR" localSheetId="27">FALSE</definedName>
    <definedName name="QBREPORTCOMPARECOL_PREVYEAR" localSheetId="28">FALSE</definedName>
    <definedName name="QBREPORTCOMPARECOL_PREVYEAR" localSheetId="29">FALSE</definedName>
    <definedName name="QBREPORTCOMPARECOL_PYDIFF" localSheetId="5">FALSE</definedName>
    <definedName name="QBREPORTCOMPARECOL_PYDIFF" localSheetId="6">FALSE</definedName>
    <definedName name="QBREPORTCOMPARECOL_PYDIFF" localSheetId="7">FALSE</definedName>
    <definedName name="QBREPORTCOMPARECOL_PYDIFF" localSheetId="8">FALSE</definedName>
    <definedName name="QBREPORTCOMPARECOL_PYDIFF" localSheetId="9">FALSE</definedName>
    <definedName name="QBREPORTCOMPARECOL_PYDIFF" localSheetId="10">FALSE</definedName>
    <definedName name="QBREPORTCOMPARECOL_PYDIFF" localSheetId="11">FALSE</definedName>
    <definedName name="QBREPORTCOMPARECOL_PYDIFF" localSheetId="12">FALSE</definedName>
    <definedName name="QBREPORTCOMPARECOL_PYDIFF" localSheetId="13">FALSE</definedName>
    <definedName name="QBREPORTCOMPARECOL_PYDIFF" localSheetId="14">FALSE</definedName>
    <definedName name="QBREPORTCOMPARECOL_PYDIFF" localSheetId="15">FALSE</definedName>
    <definedName name="QBREPORTCOMPARECOL_PYDIFF" localSheetId="16">FALSE</definedName>
    <definedName name="QBREPORTCOMPARECOL_PYDIFF" localSheetId="17">FALSE</definedName>
    <definedName name="QBREPORTCOMPARECOL_PYDIFF" localSheetId="19">FALSE</definedName>
    <definedName name="QBREPORTCOMPARECOL_PYDIFF" localSheetId="20">FALSE</definedName>
    <definedName name="QBREPORTCOMPARECOL_PYDIFF" localSheetId="21">FALSE</definedName>
    <definedName name="QBREPORTCOMPARECOL_PYDIFF" localSheetId="22">FALSE</definedName>
    <definedName name="QBREPORTCOMPARECOL_PYDIFF" localSheetId="23">FALSE</definedName>
    <definedName name="QBREPORTCOMPARECOL_PYDIFF" localSheetId="24">FALSE</definedName>
    <definedName name="QBREPORTCOMPARECOL_PYDIFF" localSheetId="25">FALSE</definedName>
    <definedName name="QBREPORTCOMPARECOL_PYDIFF" localSheetId="26">FALSE</definedName>
    <definedName name="QBREPORTCOMPARECOL_PYDIFF" localSheetId="27">FALSE</definedName>
    <definedName name="QBREPORTCOMPARECOL_PYDIFF" localSheetId="28">FALSE</definedName>
    <definedName name="QBREPORTCOMPARECOL_PYDIFF" localSheetId="29">FALSE</definedName>
    <definedName name="QBREPORTCOMPARECOL_PYPCT" localSheetId="5">FALSE</definedName>
    <definedName name="QBREPORTCOMPARECOL_PYPCT" localSheetId="6">FALSE</definedName>
    <definedName name="QBREPORTCOMPARECOL_PYPCT" localSheetId="7">FALSE</definedName>
    <definedName name="QBREPORTCOMPARECOL_PYPCT" localSheetId="8">FALSE</definedName>
    <definedName name="QBREPORTCOMPARECOL_PYPCT" localSheetId="9">FALSE</definedName>
    <definedName name="QBREPORTCOMPARECOL_PYPCT" localSheetId="10">FALSE</definedName>
    <definedName name="QBREPORTCOMPARECOL_PYPCT" localSheetId="11">FALSE</definedName>
    <definedName name="QBREPORTCOMPARECOL_PYPCT" localSheetId="12">FALSE</definedName>
    <definedName name="QBREPORTCOMPARECOL_PYPCT" localSheetId="13">FALSE</definedName>
    <definedName name="QBREPORTCOMPARECOL_PYPCT" localSheetId="14">FALSE</definedName>
    <definedName name="QBREPORTCOMPARECOL_PYPCT" localSheetId="15">FALSE</definedName>
    <definedName name="QBREPORTCOMPARECOL_PYPCT" localSheetId="16">FALSE</definedName>
    <definedName name="QBREPORTCOMPARECOL_PYPCT" localSheetId="17">FALSE</definedName>
    <definedName name="QBREPORTCOMPARECOL_PYPCT" localSheetId="19">FALSE</definedName>
    <definedName name="QBREPORTCOMPARECOL_PYPCT" localSheetId="20">FALSE</definedName>
    <definedName name="QBREPORTCOMPARECOL_PYPCT" localSheetId="21">FALSE</definedName>
    <definedName name="QBREPORTCOMPARECOL_PYPCT" localSheetId="22">FALSE</definedName>
    <definedName name="QBREPORTCOMPARECOL_PYPCT" localSheetId="23">FALSE</definedName>
    <definedName name="QBREPORTCOMPARECOL_PYPCT" localSheetId="24">FALSE</definedName>
    <definedName name="QBREPORTCOMPARECOL_PYPCT" localSheetId="25">FALSE</definedName>
    <definedName name="QBREPORTCOMPARECOL_PYPCT" localSheetId="26">FALSE</definedName>
    <definedName name="QBREPORTCOMPARECOL_PYPCT" localSheetId="27">FALSE</definedName>
    <definedName name="QBREPORTCOMPARECOL_PYPCT" localSheetId="28">FALSE</definedName>
    <definedName name="QBREPORTCOMPARECOL_PYPCT" localSheetId="29">FALSE</definedName>
    <definedName name="QBREPORTCOMPARECOL_QTY" localSheetId="5">FALSE</definedName>
    <definedName name="QBREPORTCOMPARECOL_QTY" localSheetId="6">FALSE</definedName>
    <definedName name="QBREPORTCOMPARECOL_QTY" localSheetId="7">FALSE</definedName>
    <definedName name="QBREPORTCOMPARECOL_QTY" localSheetId="8">FALSE</definedName>
    <definedName name="QBREPORTCOMPARECOL_QTY" localSheetId="9">FALSE</definedName>
    <definedName name="QBREPORTCOMPARECOL_QTY" localSheetId="10">FALSE</definedName>
    <definedName name="QBREPORTCOMPARECOL_QTY" localSheetId="11">FALSE</definedName>
    <definedName name="QBREPORTCOMPARECOL_QTY" localSheetId="12">FALSE</definedName>
    <definedName name="QBREPORTCOMPARECOL_QTY" localSheetId="13">FALSE</definedName>
    <definedName name="QBREPORTCOMPARECOL_QTY" localSheetId="14">FALSE</definedName>
    <definedName name="QBREPORTCOMPARECOL_QTY" localSheetId="15">FALSE</definedName>
    <definedName name="QBREPORTCOMPARECOL_QTY" localSheetId="16">FALSE</definedName>
    <definedName name="QBREPORTCOMPARECOL_QTY" localSheetId="17">FALSE</definedName>
    <definedName name="QBREPORTCOMPARECOL_QTY" localSheetId="19">FALSE</definedName>
    <definedName name="QBREPORTCOMPARECOL_QTY" localSheetId="20">FALSE</definedName>
    <definedName name="QBREPORTCOMPARECOL_QTY" localSheetId="21">FALSE</definedName>
    <definedName name="QBREPORTCOMPARECOL_QTY" localSheetId="22">FALSE</definedName>
    <definedName name="QBREPORTCOMPARECOL_QTY" localSheetId="23">FALSE</definedName>
    <definedName name="QBREPORTCOMPARECOL_QTY" localSheetId="24">FALSE</definedName>
    <definedName name="QBREPORTCOMPARECOL_QTY" localSheetId="25">FALSE</definedName>
    <definedName name="QBREPORTCOMPARECOL_QTY" localSheetId="26">FALSE</definedName>
    <definedName name="QBREPORTCOMPARECOL_QTY" localSheetId="27">FALSE</definedName>
    <definedName name="QBREPORTCOMPARECOL_QTY" localSheetId="28">FALSE</definedName>
    <definedName name="QBREPORTCOMPARECOL_QTY" localSheetId="29">FALSE</definedName>
    <definedName name="QBREPORTCOMPARECOL_RATE" localSheetId="5">FALSE</definedName>
    <definedName name="QBREPORTCOMPARECOL_RATE" localSheetId="6">FALSE</definedName>
    <definedName name="QBREPORTCOMPARECOL_RATE" localSheetId="7">FALSE</definedName>
    <definedName name="QBREPORTCOMPARECOL_RATE" localSheetId="8">FALSE</definedName>
    <definedName name="QBREPORTCOMPARECOL_RATE" localSheetId="9">FALSE</definedName>
    <definedName name="QBREPORTCOMPARECOL_RATE" localSheetId="10">FALSE</definedName>
    <definedName name="QBREPORTCOMPARECOL_RATE" localSheetId="11">FALSE</definedName>
    <definedName name="QBREPORTCOMPARECOL_RATE" localSheetId="12">FALSE</definedName>
    <definedName name="QBREPORTCOMPARECOL_RATE" localSheetId="13">FALSE</definedName>
    <definedName name="QBREPORTCOMPARECOL_RATE" localSheetId="14">FALSE</definedName>
    <definedName name="QBREPORTCOMPARECOL_RATE" localSheetId="15">FALSE</definedName>
    <definedName name="QBREPORTCOMPARECOL_RATE" localSheetId="16">FALSE</definedName>
    <definedName name="QBREPORTCOMPARECOL_RATE" localSheetId="17">FALSE</definedName>
    <definedName name="QBREPORTCOMPARECOL_RATE" localSheetId="19">FALSE</definedName>
    <definedName name="QBREPORTCOMPARECOL_RATE" localSheetId="20">FALSE</definedName>
    <definedName name="QBREPORTCOMPARECOL_RATE" localSheetId="21">FALSE</definedName>
    <definedName name="QBREPORTCOMPARECOL_RATE" localSheetId="22">FALSE</definedName>
    <definedName name="QBREPORTCOMPARECOL_RATE" localSheetId="23">FALSE</definedName>
    <definedName name="QBREPORTCOMPARECOL_RATE" localSheetId="24">FALSE</definedName>
    <definedName name="QBREPORTCOMPARECOL_RATE" localSheetId="25">FALSE</definedName>
    <definedName name="QBREPORTCOMPARECOL_RATE" localSheetId="26">FALSE</definedName>
    <definedName name="QBREPORTCOMPARECOL_RATE" localSheetId="27">FALSE</definedName>
    <definedName name="QBREPORTCOMPARECOL_RATE" localSheetId="28">FALSE</definedName>
    <definedName name="QBREPORTCOMPARECOL_RATE" localSheetId="29">FALSE</definedName>
    <definedName name="QBREPORTCOMPARECOL_TRIPBILLEDMILES" localSheetId="5">FALSE</definedName>
    <definedName name="QBREPORTCOMPARECOL_TRIPBILLEDMILES" localSheetId="6">FALSE</definedName>
    <definedName name="QBREPORTCOMPARECOL_TRIPBILLEDMILES" localSheetId="7">FALSE</definedName>
    <definedName name="QBREPORTCOMPARECOL_TRIPBILLEDMILES" localSheetId="8">FALSE</definedName>
    <definedName name="QBREPORTCOMPARECOL_TRIPBILLEDMILES" localSheetId="9">FALSE</definedName>
    <definedName name="QBREPORTCOMPARECOL_TRIPBILLEDMILES" localSheetId="10">FALSE</definedName>
    <definedName name="QBREPORTCOMPARECOL_TRIPBILLEDMILES" localSheetId="11">FALSE</definedName>
    <definedName name="QBREPORTCOMPARECOL_TRIPBILLEDMILES" localSheetId="12">FALSE</definedName>
    <definedName name="QBREPORTCOMPARECOL_TRIPBILLEDMILES" localSheetId="13">FALSE</definedName>
    <definedName name="QBREPORTCOMPARECOL_TRIPBILLEDMILES" localSheetId="14">FALSE</definedName>
    <definedName name="QBREPORTCOMPARECOL_TRIPBILLEDMILES" localSheetId="15">FALSE</definedName>
    <definedName name="QBREPORTCOMPARECOL_TRIPBILLEDMILES" localSheetId="16">FALSE</definedName>
    <definedName name="QBREPORTCOMPARECOL_TRIPBILLEDMILES" localSheetId="17">FALSE</definedName>
    <definedName name="QBREPORTCOMPARECOL_TRIPBILLEDMILES" localSheetId="19">FALSE</definedName>
    <definedName name="QBREPORTCOMPARECOL_TRIPBILLEDMILES" localSheetId="20">FALSE</definedName>
    <definedName name="QBREPORTCOMPARECOL_TRIPBILLEDMILES" localSheetId="21">FALSE</definedName>
    <definedName name="QBREPORTCOMPARECOL_TRIPBILLEDMILES" localSheetId="22">FALSE</definedName>
    <definedName name="QBREPORTCOMPARECOL_TRIPBILLEDMILES" localSheetId="23">FALSE</definedName>
    <definedName name="QBREPORTCOMPARECOL_TRIPBILLEDMILES" localSheetId="24">FALSE</definedName>
    <definedName name="QBREPORTCOMPARECOL_TRIPBILLEDMILES" localSheetId="25">FALSE</definedName>
    <definedName name="QBREPORTCOMPARECOL_TRIPBILLEDMILES" localSheetId="26">FALSE</definedName>
    <definedName name="QBREPORTCOMPARECOL_TRIPBILLEDMILES" localSheetId="27">FALSE</definedName>
    <definedName name="QBREPORTCOMPARECOL_TRIPBILLEDMILES" localSheetId="28">FALSE</definedName>
    <definedName name="QBREPORTCOMPARECOL_TRIPBILLEDMILES" localSheetId="29">FALSE</definedName>
    <definedName name="QBREPORTCOMPARECOL_TRIPBILLINGAMOUNT" localSheetId="5">FALSE</definedName>
    <definedName name="QBREPORTCOMPARECOL_TRIPBILLINGAMOUNT" localSheetId="6">FALSE</definedName>
    <definedName name="QBREPORTCOMPARECOL_TRIPBILLINGAMOUNT" localSheetId="7">FALSE</definedName>
    <definedName name="QBREPORTCOMPARECOL_TRIPBILLINGAMOUNT" localSheetId="8">FALSE</definedName>
    <definedName name="QBREPORTCOMPARECOL_TRIPBILLINGAMOUNT" localSheetId="9">FALSE</definedName>
    <definedName name="QBREPORTCOMPARECOL_TRIPBILLINGAMOUNT" localSheetId="10">FALSE</definedName>
    <definedName name="QBREPORTCOMPARECOL_TRIPBILLINGAMOUNT" localSheetId="11">FALSE</definedName>
    <definedName name="QBREPORTCOMPARECOL_TRIPBILLINGAMOUNT" localSheetId="12">FALSE</definedName>
    <definedName name="QBREPORTCOMPARECOL_TRIPBILLINGAMOUNT" localSheetId="13">FALSE</definedName>
    <definedName name="QBREPORTCOMPARECOL_TRIPBILLINGAMOUNT" localSheetId="14">FALSE</definedName>
    <definedName name="QBREPORTCOMPARECOL_TRIPBILLINGAMOUNT" localSheetId="15">FALSE</definedName>
    <definedName name="QBREPORTCOMPARECOL_TRIPBILLINGAMOUNT" localSheetId="16">FALSE</definedName>
    <definedName name="QBREPORTCOMPARECOL_TRIPBILLINGAMOUNT" localSheetId="17">FALSE</definedName>
    <definedName name="QBREPORTCOMPARECOL_TRIPBILLINGAMOUNT" localSheetId="19">FALSE</definedName>
    <definedName name="QBREPORTCOMPARECOL_TRIPBILLINGAMOUNT" localSheetId="20">FALSE</definedName>
    <definedName name="QBREPORTCOMPARECOL_TRIPBILLINGAMOUNT" localSheetId="21">FALSE</definedName>
    <definedName name="QBREPORTCOMPARECOL_TRIPBILLINGAMOUNT" localSheetId="22">FALSE</definedName>
    <definedName name="QBREPORTCOMPARECOL_TRIPBILLINGAMOUNT" localSheetId="23">FALSE</definedName>
    <definedName name="QBREPORTCOMPARECOL_TRIPBILLINGAMOUNT" localSheetId="24">FALSE</definedName>
    <definedName name="QBREPORTCOMPARECOL_TRIPBILLINGAMOUNT" localSheetId="25">FALSE</definedName>
    <definedName name="QBREPORTCOMPARECOL_TRIPBILLINGAMOUNT" localSheetId="26">FALSE</definedName>
    <definedName name="QBREPORTCOMPARECOL_TRIPBILLINGAMOUNT" localSheetId="27">FALSE</definedName>
    <definedName name="QBREPORTCOMPARECOL_TRIPBILLINGAMOUNT" localSheetId="28">FALSE</definedName>
    <definedName name="QBREPORTCOMPARECOL_TRIPBILLINGAMOUNT" localSheetId="29">FALSE</definedName>
    <definedName name="QBREPORTCOMPARECOL_TRIPMILES" localSheetId="5">FALSE</definedName>
    <definedName name="QBREPORTCOMPARECOL_TRIPMILES" localSheetId="6">FALSE</definedName>
    <definedName name="QBREPORTCOMPARECOL_TRIPMILES" localSheetId="7">FALSE</definedName>
    <definedName name="QBREPORTCOMPARECOL_TRIPMILES" localSheetId="8">FALSE</definedName>
    <definedName name="QBREPORTCOMPARECOL_TRIPMILES" localSheetId="9">FALSE</definedName>
    <definedName name="QBREPORTCOMPARECOL_TRIPMILES" localSheetId="10">FALSE</definedName>
    <definedName name="QBREPORTCOMPARECOL_TRIPMILES" localSheetId="11">FALSE</definedName>
    <definedName name="QBREPORTCOMPARECOL_TRIPMILES" localSheetId="12">FALSE</definedName>
    <definedName name="QBREPORTCOMPARECOL_TRIPMILES" localSheetId="13">FALSE</definedName>
    <definedName name="QBREPORTCOMPARECOL_TRIPMILES" localSheetId="14">FALSE</definedName>
    <definedName name="QBREPORTCOMPARECOL_TRIPMILES" localSheetId="15">FALSE</definedName>
    <definedName name="QBREPORTCOMPARECOL_TRIPMILES" localSheetId="16">FALSE</definedName>
    <definedName name="QBREPORTCOMPARECOL_TRIPMILES" localSheetId="17">FALSE</definedName>
    <definedName name="QBREPORTCOMPARECOL_TRIPMILES" localSheetId="19">FALSE</definedName>
    <definedName name="QBREPORTCOMPARECOL_TRIPMILES" localSheetId="20">FALSE</definedName>
    <definedName name="QBREPORTCOMPARECOL_TRIPMILES" localSheetId="21">FALSE</definedName>
    <definedName name="QBREPORTCOMPARECOL_TRIPMILES" localSheetId="22">FALSE</definedName>
    <definedName name="QBREPORTCOMPARECOL_TRIPMILES" localSheetId="23">FALSE</definedName>
    <definedName name="QBREPORTCOMPARECOL_TRIPMILES" localSheetId="24">FALSE</definedName>
    <definedName name="QBREPORTCOMPARECOL_TRIPMILES" localSheetId="25">FALSE</definedName>
    <definedName name="QBREPORTCOMPARECOL_TRIPMILES" localSheetId="26">FALSE</definedName>
    <definedName name="QBREPORTCOMPARECOL_TRIPMILES" localSheetId="27">FALSE</definedName>
    <definedName name="QBREPORTCOMPARECOL_TRIPMILES" localSheetId="28">FALSE</definedName>
    <definedName name="QBREPORTCOMPARECOL_TRIPMILES" localSheetId="29">FALSE</definedName>
    <definedName name="QBREPORTCOMPARECOL_TRIPNOTBILLABLEMILES" localSheetId="5">FALSE</definedName>
    <definedName name="QBREPORTCOMPARECOL_TRIPNOTBILLABLEMILES" localSheetId="6">FALSE</definedName>
    <definedName name="QBREPORTCOMPARECOL_TRIPNOTBILLABLEMILES" localSheetId="7">FALSE</definedName>
    <definedName name="QBREPORTCOMPARECOL_TRIPNOTBILLABLEMILES" localSheetId="8">FALSE</definedName>
    <definedName name="QBREPORTCOMPARECOL_TRIPNOTBILLABLEMILES" localSheetId="9">FALSE</definedName>
    <definedName name="QBREPORTCOMPARECOL_TRIPNOTBILLABLEMILES" localSheetId="10">FALSE</definedName>
    <definedName name="QBREPORTCOMPARECOL_TRIPNOTBILLABLEMILES" localSheetId="11">FALSE</definedName>
    <definedName name="QBREPORTCOMPARECOL_TRIPNOTBILLABLEMILES" localSheetId="12">FALSE</definedName>
    <definedName name="QBREPORTCOMPARECOL_TRIPNOTBILLABLEMILES" localSheetId="13">FALSE</definedName>
    <definedName name="QBREPORTCOMPARECOL_TRIPNOTBILLABLEMILES" localSheetId="14">FALSE</definedName>
    <definedName name="QBREPORTCOMPARECOL_TRIPNOTBILLABLEMILES" localSheetId="15">FALSE</definedName>
    <definedName name="QBREPORTCOMPARECOL_TRIPNOTBILLABLEMILES" localSheetId="16">FALSE</definedName>
    <definedName name="QBREPORTCOMPARECOL_TRIPNOTBILLABLEMILES" localSheetId="17">FALSE</definedName>
    <definedName name="QBREPORTCOMPARECOL_TRIPNOTBILLABLEMILES" localSheetId="19">FALSE</definedName>
    <definedName name="QBREPORTCOMPARECOL_TRIPNOTBILLABLEMILES" localSheetId="20">FALSE</definedName>
    <definedName name="QBREPORTCOMPARECOL_TRIPNOTBILLABLEMILES" localSheetId="21">FALSE</definedName>
    <definedName name="QBREPORTCOMPARECOL_TRIPNOTBILLABLEMILES" localSheetId="22">FALSE</definedName>
    <definedName name="QBREPORTCOMPARECOL_TRIPNOTBILLABLEMILES" localSheetId="23">FALSE</definedName>
    <definedName name="QBREPORTCOMPARECOL_TRIPNOTBILLABLEMILES" localSheetId="24">FALSE</definedName>
    <definedName name="QBREPORTCOMPARECOL_TRIPNOTBILLABLEMILES" localSheetId="25">FALSE</definedName>
    <definedName name="QBREPORTCOMPARECOL_TRIPNOTBILLABLEMILES" localSheetId="26">FALSE</definedName>
    <definedName name="QBREPORTCOMPARECOL_TRIPNOTBILLABLEMILES" localSheetId="27">FALSE</definedName>
    <definedName name="QBREPORTCOMPARECOL_TRIPNOTBILLABLEMILES" localSheetId="28">FALSE</definedName>
    <definedName name="QBREPORTCOMPARECOL_TRIPNOTBILLABLEMILES" localSheetId="29">FALSE</definedName>
    <definedName name="QBREPORTCOMPARECOL_TRIPTAXDEDUCTIBLEAMOUNT" localSheetId="5">FALSE</definedName>
    <definedName name="QBREPORTCOMPARECOL_TRIPTAXDEDUCTIBLEAMOUNT" localSheetId="6">FALSE</definedName>
    <definedName name="QBREPORTCOMPARECOL_TRIPTAXDEDUCTIBLEAMOUNT" localSheetId="7">FALSE</definedName>
    <definedName name="QBREPORTCOMPARECOL_TRIPTAXDEDUCTIBLEAMOUNT" localSheetId="8">FALSE</definedName>
    <definedName name="QBREPORTCOMPARECOL_TRIPTAXDEDUCTIBLEAMOUNT" localSheetId="9">FALSE</definedName>
    <definedName name="QBREPORTCOMPARECOL_TRIPTAXDEDUCTIBLEAMOUNT" localSheetId="10">FALSE</definedName>
    <definedName name="QBREPORTCOMPARECOL_TRIPTAXDEDUCTIBLEAMOUNT" localSheetId="11">FALSE</definedName>
    <definedName name="QBREPORTCOMPARECOL_TRIPTAXDEDUCTIBLEAMOUNT" localSheetId="12">FALSE</definedName>
    <definedName name="QBREPORTCOMPARECOL_TRIPTAXDEDUCTIBLEAMOUNT" localSheetId="13">FALSE</definedName>
    <definedName name="QBREPORTCOMPARECOL_TRIPTAXDEDUCTIBLEAMOUNT" localSheetId="14">FALSE</definedName>
    <definedName name="QBREPORTCOMPARECOL_TRIPTAXDEDUCTIBLEAMOUNT" localSheetId="15">FALSE</definedName>
    <definedName name="QBREPORTCOMPARECOL_TRIPTAXDEDUCTIBLEAMOUNT" localSheetId="16">FALSE</definedName>
    <definedName name="QBREPORTCOMPARECOL_TRIPTAXDEDUCTIBLEAMOUNT" localSheetId="17">FALSE</definedName>
    <definedName name="QBREPORTCOMPARECOL_TRIPTAXDEDUCTIBLEAMOUNT" localSheetId="19">FALSE</definedName>
    <definedName name="QBREPORTCOMPARECOL_TRIPTAXDEDUCTIBLEAMOUNT" localSheetId="20">FALSE</definedName>
    <definedName name="QBREPORTCOMPARECOL_TRIPTAXDEDUCTIBLEAMOUNT" localSheetId="21">FALSE</definedName>
    <definedName name="QBREPORTCOMPARECOL_TRIPTAXDEDUCTIBLEAMOUNT" localSheetId="22">FALSE</definedName>
    <definedName name="QBREPORTCOMPARECOL_TRIPTAXDEDUCTIBLEAMOUNT" localSheetId="23">FALSE</definedName>
    <definedName name="QBREPORTCOMPARECOL_TRIPTAXDEDUCTIBLEAMOUNT" localSheetId="24">FALSE</definedName>
    <definedName name="QBREPORTCOMPARECOL_TRIPTAXDEDUCTIBLEAMOUNT" localSheetId="25">FALSE</definedName>
    <definedName name="QBREPORTCOMPARECOL_TRIPTAXDEDUCTIBLEAMOUNT" localSheetId="26">FALSE</definedName>
    <definedName name="QBREPORTCOMPARECOL_TRIPTAXDEDUCTIBLEAMOUNT" localSheetId="27">FALSE</definedName>
    <definedName name="QBREPORTCOMPARECOL_TRIPTAXDEDUCTIBLEAMOUNT" localSheetId="28">FALSE</definedName>
    <definedName name="QBREPORTCOMPARECOL_TRIPTAXDEDUCTIBLEAMOUNT" localSheetId="29">FALSE</definedName>
    <definedName name="QBREPORTCOMPARECOL_TRIPUNBILLEDMILES" localSheetId="5">FALSE</definedName>
    <definedName name="QBREPORTCOMPARECOL_TRIPUNBILLEDMILES" localSheetId="6">FALSE</definedName>
    <definedName name="QBREPORTCOMPARECOL_TRIPUNBILLEDMILES" localSheetId="7">FALSE</definedName>
    <definedName name="QBREPORTCOMPARECOL_TRIPUNBILLEDMILES" localSheetId="8">FALSE</definedName>
    <definedName name="QBREPORTCOMPARECOL_TRIPUNBILLEDMILES" localSheetId="9">FALSE</definedName>
    <definedName name="QBREPORTCOMPARECOL_TRIPUNBILLEDMILES" localSheetId="10">FALSE</definedName>
    <definedName name="QBREPORTCOMPARECOL_TRIPUNBILLEDMILES" localSheetId="11">FALSE</definedName>
    <definedName name="QBREPORTCOMPARECOL_TRIPUNBILLEDMILES" localSheetId="12">FALSE</definedName>
    <definedName name="QBREPORTCOMPARECOL_TRIPUNBILLEDMILES" localSheetId="13">FALSE</definedName>
    <definedName name="QBREPORTCOMPARECOL_TRIPUNBILLEDMILES" localSheetId="14">FALSE</definedName>
    <definedName name="QBREPORTCOMPARECOL_TRIPUNBILLEDMILES" localSheetId="15">FALSE</definedName>
    <definedName name="QBREPORTCOMPARECOL_TRIPUNBILLEDMILES" localSheetId="16">FALSE</definedName>
    <definedName name="QBREPORTCOMPARECOL_TRIPUNBILLEDMILES" localSheetId="17">FALSE</definedName>
    <definedName name="QBREPORTCOMPARECOL_TRIPUNBILLEDMILES" localSheetId="19">FALSE</definedName>
    <definedName name="QBREPORTCOMPARECOL_TRIPUNBILLEDMILES" localSheetId="20">FALSE</definedName>
    <definedName name="QBREPORTCOMPARECOL_TRIPUNBILLEDMILES" localSheetId="21">FALSE</definedName>
    <definedName name="QBREPORTCOMPARECOL_TRIPUNBILLEDMILES" localSheetId="22">FALSE</definedName>
    <definedName name="QBREPORTCOMPARECOL_TRIPUNBILLEDMILES" localSheetId="23">FALSE</definedName>
    <definedName name="QBREPORTCOMPARECOL_TRIPUNBILLEDMILES" localSheetId="24">FALSE</definedName>
    <definedName name="QBREPORTCOMPARECOL_TRIPUNBILLEDMILES" localSheetId="25">FALSE</definedName>
    <definedName name="QBREPORTCOMPARECOL_TRIPUNBILLEDMILES" localSheetId="26">FALSE</definedName>
    <definedName name="QBREPORTCOMPARECOL_TRIPUNBILLEDMILES" localSheetId="27">FALSE</definedName>
    <definedName name="QBREPORTCOMPARECOL_TRIPUNBILLEDMILES" localSheetId="28">FALSE</definedName>
    <definedName name="QBREPORTCOMPARECOL_TRIPUNBILLEDMILES" localSheetId="29">FALSE</definedName>
    <definedName name="QBREPORTCOMPARECOL_YTD" localSheetId="5">FALSE</definedName>
    <definedName name="QBREPORTCOMPARECOL_YTD" localSheetId="6">FALSE</definedName>
    <definedName name="QBREPORTCOMPARECOL_YTD" localSheetId="7">FALSE</definedName>
    <definedName name="QBREPORTCOMPARECOL_YTD" localSheetId="8">FALSE</definedName>
    <definedName name="QBREPORTCOMPARECOL_YTD" localSheetId="9">FALSE</definedName>
    <definedName name="QBREPORTCOMPARECOL_YTD" localSheetId="10">FALSE</definedName>
    <definedName name="QBREPORTCOMPARECOL_YTD" localSheetId="11">FALSE</definedName>
    <definedName name="QBREPORTCOMPARECOL_YTD" localSheetId="12">FALSE</definedName>
    <definedName name="QBREPORTCOMPARECOL_YTD" localSheetId="13">FALSE</definedName>
    <definedName name="QBREPORTCOMPARECOL_YTD" localSheetId="14">FALSE</definedName>
    <definedName name="QBREPORTCOMPARECOL_YTD" localSheetId="15">FALSE</definedName>
    <definedName name="QBREPORTCOMPARECOL_YTD" localSheetId="16">FALSE</definedName>
    <definedName name="QBREPORTCOMPARECOL_YTD" localSheetId="17">FALSE</definedName>
    <definedName name="QBREPORTCOMPARECOL_YTD" localSheetId="19">FALSE</definedName>
    <definedName name="QBREPORTCOMPARECOL_YTD" localSheetId="20">FALSE</definedName>
    <definedName name="QBREPORTCOMPARECOL_YTD" localSheetId="21">FALSE</definedName>
    <definedName name="QBREPORTCOMPARECOL_YTD" localSheetId="22">FALSE</definedName>
    <definedName name="QBREPORTCOMPARECOL_YTD" localSheetId="23">FALSE</definedName>
    <definedName name="QBREPORTCOMPARECOL_YTD" localSheetId="24">FALSE</definedName>
    <definedName name="QBREPORTCOMPARECOL_YTD" localSheetId="25">FALSE</definedName>
    <definedName name="QBREPORTCOMPARECOL_YTD" localSheetId="26">FALSE</definedName>
    <definedName name="QBREPORTCOMPARECOL_YTD" localSheetId="27">FALSE</definedName>
    <definedName name="QBREPORTCOMPARECOL_YTD" localSheetId="28">FALSE</definedName>
    <definedName name="QBREPORTCOMPARECOL_YTD" localSheetId="29">FALSE</definedName>
    <definedName name="QBREPORTCOMPARECOL_YTDBUDGET" localSheetId="5">FALSE</definedName>
    <definedName name="QBREPORTCOMPARECOL_YTDBUDGET" localSheetId="6">FALSE</definedName>
    <definedName name="QBREPORTCOMPARECOL_YTDBUDGET" localSheetId="7">FALSE</definedName>
    <definedName name="QBREPORTCOMPARECOL_YTDBUDGET" localSheetId="8">FALSE</definedName>
    <definedName name="QBREPORTCOMPARECOL_YTDBUDGET" localSheetId="9">FALSE</definedName>
    <definedName name="QBREPORTCOMPARECOL_YTDBUDGET" localSheetId="10">FALSE</definedName>
    <definedName name="QBREPORTCOMPARECOL_YTDBUDGET" localSheetId="11">FALSE</definedName>
    <definedName name="QBREPORTCOMPARECOL_YTDBUDGET" localSheetId="12">FALSE</definedName>
    <definedName name="QBREPORTCOMPARECOL_YTDBUDGET" localSheetId="13">FALSE</definedName>
    <definedName name="QBREPORTCOMPARECOL_YTDBUDGET" localSheetId="14">FALSE</definedName>
    <definedName name="QBREPORTCOMPARECOL_YTDBUDGET" localSheetId="15">FALSE</definedName>
    <definedName name="QBREPORTCOMPARECOL_YTDBUDGET" localSheetId="16">FALSE</definedName>
    <definedName name="QBREPORTCOMPARECOL_YTDBUDGET" localSheetId="17">FALSE</definedName>
    <definedName name="QBREPORTCOMPARECOL_YTDBUDGET" localSheetId="19">FALSE</definedName>
    <definedName name="QBREPORTCOMPARECOL_YTDBUDGET" localSheetId="20">FALSE</definedName>
    <definedName name="QBREPORTCOMPARECOL_YTDBUDGET" localSheetId="21">FALSE</definedName>
    <definedName name="QBREPORTCOMPARECOL_YTDBUDGET" localSheetId="22">FALSE</definedName>
    <definedName name="QBREPORTCOMPARECOL_YTDBUDGET" localSheetId="23">FALSE</definedName>
    <definedName name="QBREPORTCOMPARECOL_YTDBUDGET" localSheetId="24">FALSE</definedName>
    <definedName name="QBREPORTCOMPARECOL_YTDBUDGET" localSheetId="25">FALSE</definedName>
    <definedName name="QBREPORTCOMPARECOL_YTDBUDGET" localSheetId="26">FALSE</definedName>
    <definedName name="QBREPORTCOMPARECOL_YTDBUDGET" localSheetId="27">FALSE</definedName>
    <definedName name="QBREPORTCOMPARECOL_YTDBUDGET" localSheetId="28">FALSE</definedName>
    <definedName name="QBREPORTCOMPARECOL_YTDBUDGET" localSheetId="29">FALSE</definedName>
    <definedName name="QBREPORTCOMPARECOL_YTDPCT" localSheetId="5">FALSE</definedName>
    <definedName name="QBREPORTCOMPARECOL_YTDPCT" localSheetId="6">FALSE</definedName>
    <definedName name="QBREPORTCOMPARECOL_YTDPCT" localSheetId="7">FALSE</definedName>
    <definedName name="QBREPORTCOMPARECOL_YTDPCT" localSheetId="8">FALSE</definedName>
    <definedName name="QBREPORTCOMPARECOL_YTDPCT" localSheetId="9">FALSE</definedName>
    <definedName name="QBREPORTCOMPARECOL_YTDPCT" localSheetId="10">FALSE</definedName>
    <definedName name="QBREPORTCOMPARECOL_YTDPCT" localSheetId="11">FALSE</definedName>
    <definedName name="QBREPORTCOMPARECOL_YTDPCT" localSheetId="12">FALSE</definedName>
    <definedName name="QBREPORTCOMPARECOL_YTDPCT" localSheetId="13">FALSE</definedName>
    <definedName name="QBREPORTCOMPARECOL_YTDPCT" localSheetId="14">FALSE</definedName>
    <definedName name="QBREPORTCOMPARECOL_YTDPCT" localSheetId="15">FALSE</definedName>
    <definedName name="QBREPORTCOMPARECOL_YTDPCT" localSheetId="16">FALSE</definedName>
    <definedName name="QBREPORTCOMPARECOL_YTDPCT" localSheetId="17">FALSE</definedName>
    <definedName name="QBREPORTCOMPARECOL_YTDPCT" localSheetId="19">FALSE</definedName>
    <definedName name="QBREPORTCOMPARECOL_YTDPCT" localSheetId="20">FALSE</definedName>
    <definedName name="QBREPORTCOMPARECOL_YTDPCT" localSheetId="21">FALSE</definedName>
    <definedName name="QBREPORTCOMPARECOL_YTDPCT" localSheetId="22">FALSE</definedName>
    <definedName name="QBREPORTCOMPARECOL_YTDPCT" localSheetId="23">FALSE</definedName>
    <definedName name="QBREPORTCOMPARECOL_YTDPCT" localSheetId="24">FALSE</definedName>
    <definedName name="QBREPORTCOMPARECOL_YTDPCT" localSheetId="25">FALSE</definedName>
    <definedName name="QBREPORTCOMPARECOL_YTDPCT" localSheetId="26">FALSE</definedName>
    <definedName name="QBREPORTCOMPARECOL_YTDPCT" localSheetId="27">FALSE</definedName>
    <definedName name="QBREPORTCOMPARECOL_YTDPCT" localSheetId="28">FALSE</definedName>
    <definedName name="QBREPORTCOMPARECOL_YTDPCT" localSheetId="29">FALSE</definedName>
    <definedName name="QBREPORTROWAXIS" localSheetId="5">12</definedName>
    <definedName name="QBREPORTROWAXIS" localSheetId="6">12</definedName>
    <definedName name="QBREPORTROWAXIS" localSheetId="7">12</definedName>
    <definedName name="QBREPORTROWAXIS" localSheetId="8">12</definedName>
    <definedName name="QBREPORTROWAXIS" localSheetId="9">12</definedName>
    <definedName name="QBREPORTROWAXIS" localSheetId="10">12</definedName>
    <definedName name="QBREPORTROWAXIS" localSheetId="11">12</definedName>
    <definedName name="QBREPORTROWAXIS" localSheetId="12">12</definedName>
    <definedName name="QBREPORTROWAXIS" localSheetId="13">12</definedName>
    <definedName name="QBREPORTROWAXIS" localSheetId="14">12</definedName>
    <definedName name="QBREPORTROWAXIS" localSheetId="15">12</definedName>
    <definedName name="QBREPORTROWAXIS" localSheetId="16">12</definedName>
    <definedName name="QBREPORTROWAXIS" localSheetId="17">12</definedName>
    <definedName name="QBREPORTROWAXIS" localSheetId="19">12</definedName>
    <definedName name="QBREPORTROWAXIS" localSheetId="20">12</definedName>
    <definedName name="QBREPORTROWAXIS" localSheetId="21">12</definedName>
    <definedName name="QBREPORTROWAXIS" localSheetId="22">12</definedName>
    <definedName name="QBREPORTROWAXIS" localSheetId="23">12</definedName>
    <definedName name="QBREPORTROWAXIS" localSheetId="24">12</definedName>
    <definedName name="QBREPORTROWAXIS" localSheetId="25">12</definedName>
    <definedName name="QBREPORTROWAXIS" localSheetId="26">12</definedName>
    <definedName name="QBREPORTROWAXIS" localSheetId="27">12</definedName>
    <definedName name="QBREPORTROWAXIS" localSheetId="28">12</definedName>
    <definedName name="QBREPORTROWAXIS" localSheetId="29">12</definedName>
    <definedName name="QBREPORTSUBCOLAXIS" localSheetId="5">0</definedName>
    <definedName name="QBREPORTSUBCOLAXIS" localSheetId="6">0</definedName>
    <definedName name="QBREPORTSUBCOLAXIS" localSheetId="7">0</definedName>
    <definedName name="QBREPORTSUBCOLAXIS" localSheetId="8">0</definedName>
    <definedName name="QBREPORTSUBCOLAXIS" localSheetId="9">0</definedName>
    <definedName name="QBREPORTSUBCOLAXIS" localSheetId="10">0</definedName>
    <definedName name="QBREPORTSUBCOLAXIS" localSheetId="11">0</definedName>
    <definedName name="QBREPORTSUBCOLAXIS" localSheetId="12">0</definedName>
    <definedName name="QBREPORTSUBCOLAXIS" localSheetId="13">0</definedName>
    <definedName name="QBREPORTSUBCOLAXIS" localSheetId="14">0</definedName>
    <definedName name="QBREPORTSUBCOLAXIS" localSheetId="15">0</definedName>
    <definedName name="QBREPORTSUBCOLAXIS" localSheetId="16">0</definedName>
    <definedName name="QBREPORTSUBCOLAXIS" localSheetId="17">0</definedName>
    <definedName name="QBREPORTSUBCOLAXIS" localSheetId="19">0</definedName>
    <definedName name="QBREPORTSUBCOLAXIS" localSheetId="20">0</definedName>
    <definedName name="QBREPORTSUBCOLAXIS" localSheetId="21">0</definedName>
    <definedName name="QBREPORTSUBCOLAXIS" localSheetId="22">0</definedName>
    <definedName name="QBREPORTSUBCOLAXIS" localSheetId="23">0</definedName>
    <definedName name="QBREPORTSUBCOLAXIS" localSheetId="24">0</definedName>
    <definedName name="QBREPORTSUBCOLAXIS" localSheetId="25">0</definedName>
    <definedName name="QBREPORTSUBCOLAXIS" localSheetId="26">0</definedName>
    <definedName name="QBREPORTSUBCOLAXIS" localSheetId="27">0</definedName>
    <definedName name="QBREPORTSUBCOLAXIS" localSheetId="28">0</definedName>
    <definedName name="QBREPORTSUBCOLAXIS" localSheetId="29">0</definedName>
    <definedName name="QBREPORTTYPE" localSheetId="5">61</definedName>
    <definedName name="QBREPORTTYPE" localSheetId="6">61</definedName>
    <definedName name="QBREPORTTYPE" localSheetId="7">61</definedName>
    <definedName name="QBREPORTTYPE" localSheetId="8">61</definedName>
    <definedName name="QBREPORTTYPE" localSheetId="9">61</definedName>
    <definedName name="QBREPORTTYPE" localSheetId="10">61</definedName>
    <definedName name="QBREPORTTYPE" localSheetId="11">61</definedName>
    <definedName name="QBREPORTTYPE" localSheetId="12">61</definedName>
    <definedName name="QBREPORTTYPE" localSheetId="13">61</definedName>
    <definedName name="QBREPORTTYPE" localSheetId="14">61</definedName>
    <definedName name="QBREPORTTYPE" localSheetId="15">61</definedName>
    <definedName name="QBREPORTTYPE" localSheetId="16">61</definedName>
    <definedName name="QBREPORTTYPE" localSheetId="17">61</definedName>
    <definedName name="QBREPORTTYPE" localSheetId="19">61</definedName>
    <definedName name="QBREPORTTYPE" localSheetId="20">61</definedName>
    <definedName name="QBREPORTTYPE" localSheetId="21">61</definedName>
    <definedName name="QBREPORTTYPE" localSheetId="22">61</definedName>
    <definedName name="QBREPORTTYPE" localSheetId="23">61</definedName>
    <definedName name="QBREPORTTYPE" localSheetId="24">61</definedName>
    <definedName name="QBREPORTTYPE" localSheetId="25">61</definedName>
    <definedName name="QBREPORTTYPE" localSheetId="26">61</definedName>
    <definedName name="QBREPORTTYPE" localSheetId="27">61</definedName>
    <definedName name="QBREPORTTYPE" localSheetId="28">61</definedName>
    <definedName name="QBREPORTTYPE" localSheetId="29">61</definedName>
    <definedName name="QBROWHEADERS" localSheetId="5">3</definedName>
    <definedName name="QBROWHEADERS" localSheetId="6">3</definedName>
    <definedName name="QBROWHEADERS" localSheetId="7">3</definedName>
    <definedName name="QBROWHEADERS" localSheetId="8">3</definedName>
    <definedName name="QBROWHEADERS" localSheetId="9">3</definedName>
    <definedName name="QBROWHEADERS" localSheetId="10">3</definedName>
    <definedName name="QBROWHEADERS" localSheetId="11">3</definedName>
    <definedName name="QBROWHEADERS" localSheetId="12">3</definedName>
    <definedName name="QBROWHEADERS" localSheetId="13">3</definedName>
    <definedName name="QBROWHEADERS" localSheetId="14">3</definedName>
    <definedName name="QBROWHEADERS" localSheetId="15">3</definedName>
    <definedName name="QBROWHEADERS" localSheetId="16">3</definedName>
    <definedName name="QBROWHEADERS" localSheetId="17">3</definedName>
    <definedName name="QBROWHEADERS" localSheetId="19">3</definedName>
    <definedName name="QBROWHEADERS" localSheetId="20">3</definedName>
    <definedName name="QBROWHEADERS" localSheetId="21">3</definedName>
    <definedName name="QBROWHEADERS" localSheetId="22">3</definedName>
    <definedName name="QBROWHEADERS" localSheetId="23">3</definedName>
    <definedName name="QBROWHEADERS" localSheetId="24">3</definedName>
    <definedName name="QBROWHEADERS" localSheetId="25">3</definedName>
    <definedName name="QBROWHEADERS" localSheetId="26">3</definedName>
    <definedName name="QBROWHEADERS" localSheetId="27">3</definedName>
    <definedName name="QBROWHEADERS" localSheetId="28">3</definedName>
    <definedName name="QBROWHEADERS" localSheetId="29">3</definedName>
    <definedName name="QBSTARTDATE" localSheetId="5">20190101</definedName>
    <definedName name="QBSTARTDATE" localSheetId="6">20190101</definedName>
    <definedName name="QBSTARTDATE" localSheetId="7">20190101</definedName>
    <definedName name="QBSTARTDATE" localSheetId="8">20190101</definedName>
    <definedName name="QBSTARTDATE" localSheetId="9">20190101</definedName>
    <definedName name="QBSTARTDATE" localSheetId="10">20190101</definedName>
    <definedName name="QBSTARTDATE" localSheetId="11">20190101</definedName>
    <definedName name="QBSTARTDATE" localSheetId="12">20190101</definedName>
    <definedName name="QBSTARTDATE" localSheetId="13">20190101</definedName>
    <definedName name="QBSTARTDATE" localSheetId="14">20190101</definedName>
    <definedName name="QBSTARTDATE" localSheetId="15">20190101</definedName>
    <definedName name="QBSTARTDATE" localSheetId="16">20190101</definedName>
    <definedName name="QBSTARTDATE" localSheetId="17">20190101</definedName>
    <definedName name="QBSTARTDATE" localSheetId="19">20190101</definedName>
    <definedName name="QBSTARTDATE" localSheetId="20">20190101</definedName>
    <definedName name="QBSTARTDATE" localSheetId="21">20190101</definedName>
    <definedName name="QBSTARTDATE" localSheetId="22">20190101</definedName>
    <definedName name="QBSTARTDATE" localSheetId="23">20190101</definedName>
    <definedName name="QBSTARTDATE" localSheetId="24">20190101</definedName>
    <definedName name="QBSTARTDATE" localSheetId="25">20190101</definedName>
    <definedName name="QBSTARTDATE" localSheetId="26">20190101</definedName>
    <definedName name="QBSTARTDATE" localSheetId="27">20190101</definedName>
    <definedName name="QBSTARTDATE" localSheetId="28">20190101</definedName>
    <definedName name="QBSTARTDATE" localSheetId="29">20190101</definedName>
    <definedName name="Z_1E23C528_1A93_4869_8FED_629E3BA1C1FB_.wvu.Cols" localSheetId="1">'3% Personnel'!$F:$G</definedName>
    <definedName name="Z_1E23C528_1A93_4869_8FED_629E3BA1C1FB_.wvu.Cols" localSheetId="3">'ARB Budget'!$G:$H</definedName>
    <definedName name="Z_1E23C528_1A93_4869_8FED_629E3BA1C1FB_.wvu.Cols" localSheetId="2">'Budget-Services'!$I:$J</definedName>
    <definedName name="Z_1E23C528_1A93_4869_8FED_629E3BA1C1FB_.wvu.PrintArea" localSheetId="0">'3% Overview'!$A$1:$K$37</definedName>
    <definedName name="Z_1E23C528_1A93_4869_8FED_629E3BA1C1FB_.wvu.PrintArea" localSheetId="1">'3% Personnel'!$A$1:$H$77</definedName>
    <definedName name="Z_1E23C528_1A93_4869_8FED_629E3BA1C1FB_.wvu.PrintArea" localSheetId="3">'ARB Budget'!$A$1:$I$38</definedName>
    <definedName name="Z_1E23C528_1A93_4869_8FED_629E3BA1C1FB_.wvu.PrintArea" localSheetId="2">'Budget-Services'!$A$1:$K$389</definedName>
    <definedName name="Z_1E23C528_1A93_4869_8FED_629E3BA1C1FB_.wvu.PrintTitles" localSheetId="2">'Budget-Services'!$1:$1</definedName>
    <definedName name="Z_240D0F1E_8A4A_44D9_9D18_FC2DB01D505B_.wvu.Cols" localSheetId="1">'3% Personnel'!$F:$G</definedName>
    <definedName name="Z_240D0F1E_8A4A_44D9_9D18_FC2DB01D505B_.wvu.Cols" localSheetId="3">'ARB Budget'!$G:$H</definedName>
    <definedName name="Z_311A91B1_0912_4AA5_9366_B03CF50601A2_.wvu.PrintTitles" localSheetId="2">'Budget-Services'!$1:$1</definedName>
    <definedName name="Z_34964384_DFBD_46D8_9B9F_2D86A517A166_.wvu.PrintTitles" localSheetId="2">'Budget-Services'!$1:$1</definedName>
    <definedName name="Z_462CB3DC_B2E4_454C_83C1_B844BA7D19AA_.wvu.PrintTitles" localSheetId="2">'Budget-Services'!$1:$1</definedName>
    <definedName name="Z_6D2BABDE_BF95_4644_811C_B4DB4C5FF4DD_.wvu.PrintTitles" localSheetId="2">'Budget-Services'!$1:$1</definedName>
    <definedName name="Z_7B966C76_DF97_4627_BB3C_77955DB39D00_.wvu.PrintTitles" localSheetId="2">'Budget-Services'!$1:$1</definedName>
    <definedName name="Z_867852E4_99EF_4389_8FD0_AFAB4495F746_.wvu.Cols" localSheetId="1">'3% Personnel'!$F:$G</definedName>
    <definedName name="Z_867852E4_99EF_4389_8FD0_AFAB4495F746_.wvu.PrintTitles" localSheetId="2">'Budget-Services'!$1:$1</definedName>
    <definedName name="Z_87C375DB_B8D6_4CDB_A372_B6AF8E723C83_.wvu.Cols" localSheetId="1">'3% Personnel'!$F:$G</definedName>
    <definedName name="Z_87C375DB_B8D6_4CDB_A372_B6AF8E723C83_.wvu.Cols" localSheetId="3">'ARB Budget'!$G:$H</definedName>
    <definedName name="Z_8AFAE271_A818_42D9_A8EF_972712D95EDE_.wvu.Cols" localSheetId="3">'ARB Budget'!$G:$H</definedName>
    <definedName name="Z_8AFAE271_A818_42D9_A8EF_972712D95EDE_.wvu.Cols" localSheetId="2">'Budget-Services'!$I:$J</definedName>
    <definedName name="Z_8AFAE271_A818_42D9_A8EF_972712D95EDE_.wvu.PrintArea" localSheetId="2">'Budget-Services'!$A$1:$K$389</definedName>
    <definedName name="Z_8AFAE271_A818_42D9_A8EF_972712D95EDE_.wvu.PrintTitles" localSheetId="2">'Budget-Services'!$1:$1</definedName>
    <definedName name="Z_C064177C_B77C_40AF_A193_4D3DF85CE067_.wvu.Cols" localSheetId="1">'3% Personnel'!$F:$G</definedName>
    <definedName name="Z_C064177C_B77C_40AF_A193_4D3DF85CE067_.wvu.Cols" localSheetId="3">'ARB Budget'!$G:$H</definedName>
    <definedName name="Z_C064177C_B77C_40AF_A193_4D3DF85CE067_.wvu.Cols" localSheetId="2">'Budget-Services'!$I:$J</definedName>
    <definedName name="Z_C064177C_B77C_40AF_A193_4D3DF85CE067_.wvu.PrintArea" localSheetId="0">'3% Overview'!$A$1:$K$37</definedName>
    <definedName name="Z_C064177C_B77C_40AF_A193_4D3DF85CE067_.wvu.PrintArea" localSheetId="1">'3% Personnel'!$A$1:$H$77</definedName>
    <definedName name="Z_C064177C_B77C_40AF_A193_4D3DF85CE067_.wvu.PrintArea" localSheetId="3">'ARB Budget'!$A$1:$I$38</definedName>
    <definedName name="Z_C064177C_B77C_40AF_A193_4D3DF85CE067_.wvu.PrintArea" localSheetId="2">'Budget-Services'!$A$1:$K$389</definedName>
    <definedName name="Z_C064177C_B77C_40AF_A193_4D3DF85CE067_.wvu.PrintTitles" localSheetId="2">'Budget-Services'!$1:$1</definedName>
    <definedName name="Z_C48E47E7_FA0B_4A20_94A3_280718E1E67E_.wvu.PrintTitles" localSheetId="2">'Budget-Services'!$1:$1</definedName>
    <definedName name="Z_C67EED5A_831B_42B7_8FDB_8094D4B26582_.wvu.PrintTitles" localSheetId="2">'Budget-Services'!$1:$1</definedName>
    <definedName name="Z_E4A729BB_04B9_4DDA_A845_D330ECD6C6DE_.wvu.PrintTitles" localSheetId="2">'Budget-Services'!$1:$1</definedName>
    <definedName name="Z_FB8A7251_402B_4E68_AD89_100C31417887_.wvu.Cols" localSheetId="1">'3% Personnel'!$F:$G</definedName>
    <definedName name="Z_FB8A7251_402B_4E68_AD89_100C31417887_.wvu.Cols" localSheetId="3">'ARB Budget'!$G:$H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2" i="24" l="1"/>
  <c r="F143" i="24" s="1"/>
  <c r="F144" i="24" s="1"/>
  <c r="H94" i="22"/>
  <c r="G94" i="22"/>
  <c r="F94" i="22"/>
  <c r="F95" i="22" s="1"/>
  <c r="F96" i="22" s="1"/>
  <c r="F78" i="21"/>
  <c r="F79" i="21" s="1"/>
  <c r="F80" i="21" s="1"/>
  <c r="F149" i="20"/>
  <c r="F150" i="20" s="1"/>
  <c r="F151" i="20" s="1"/>
  <c r="G149" i="20"/>
  <c r="F58" i="19"/>
  <c r="F59" i="19" s="1"/>
  <c r="F60" i="19" s="1"/>
  <c r="F26" i="18"/>
  <c r="F27" i="18" s="1"/>
  <c r="F28" i="18" s="1"/>
  <c r="F30" i="17"/>
  <c r="F31" i="17" s="1"/>
  <c r="F32" i="17" s="1"/>
  <c r="H208" i="16"/>
  <c r="G208" i="16"/>
  <c r="F208" i="16"/>
  <c r="F209" i="16" s="1"/>
  <c r="F210" i="16" s="1"/>
  <c r="F155" i="15"/>
  <c r="F156" i="15" s="1"/>
  <c r="F157" i="15" s="1"/>
  <c r="F41" i="14"/>
  <c r="F42" i="14" s="1"/>
  <c r="F43" i="14" s="1"/>
  <c r="F460" i="13"/>
  <c r="F461" i="13" s="1"/>
  <c r="F462" i="13" s="1"/>
  <c r="I197" i="4"/>
  <c r="H149" i="20" l="1"/>
  <c r="F51" i="12"/>
  <c r="F52" i="12" s="1"/>
  <c r="F53" i="12" s="1"/>
  <c r="G92" i="11"/>
  <c r="F92" i="11"/>
  <c r="F93" i="11" s="1"/>
  <c r="F94" i="11" s="1"/>
  <c r="F21" i="10"/>
  <c r="F22" i="10" s="1"/>
  <c r="F23" i="10" s="1"/>
  <c r="F145" i="9"/>
  <c r="F146" i="9" s="1"/>
  <c r="F147" i="9" s="1"/>
  <c r="F55" i="8"/>
  <c r="F56" i="8" s="1"/>
  <c r="F57" i="8" s="1"/>
  <c r="H92" i="11" l="1"/>
  <c r="F151" i="7"/>
  <c r="F152" i="7" s="1"/>
  <c r="F153" i="7" s="1"/>
  <c r="G21" i="29" l="1"/>
  <c r="F21" i="29"/>
  <c r="F22" i="29" s="1"/>
  <c r="F23" i="29" s="1"/>
  <c r="F15" i="31"/>
  <c r="H21" i="29" l="1"/>
  <c r="G5" i="3" l="1"/>
  <c r="G7" i="3"/>
  <c r="G8" i="3"/>
  <c r="F3" i="3"/>
  <c r="F9" i="3" l="1"/>
  <c r="F61" i="3"/>
  <c r="F57" i="3"/>
  <c r="F36" i="3"/>
  <c r="F35" i="3"/>
  <c r="F41" i="3" s="1"/>
  <c r="F20" i="3"/>
  <c r="F22" i="3" s="1"/>
  <c r="F21" i="3"/>
  <c r="F13" i="3"/>
  <c r="G15" i="3"/>
  <c r="F7" i="28"/>
  <c r="F8" i="28" s="1"/>
  <c r="F9" i="28" s="1"/>
  <c r="F13" i="26"/>
  <c r="F14" i="26" s="1"/>
  <c r="F15" i="26" s="1"/>
  <c r="F16" i="31"/>
  <c r="F17" i="31" s="1"/>
  <c r="F14" i="23"/>
  <c r="F15" i="23" s="1"/>
  <c r="F16" i="23" s="1"/>
  <c r="F16" i="3" l="1"/>
  <c r="F32" i="3" s="1"/>
  <c r="F77" i="3" s="1"/>
  <c r="F11" i="25" l="1"/>
  <c r="F12" i="25" s="1"/>
  <c r="F13" i="25" s="1"/>
  <c r="F38" i="27" l="1"/>
  <c r="F39" i="27" s="1"/>
  <c r="F40" i="27" s="1"/>
  <c r="B34" i="5" l="1"/>
  <c r="B29" i="5"/>
  <c r="B17" i="5"/>
  <c r="B12" i="5"/>
  <c r="B3" i="5"/>
  <c r="B13" i="5" l="1"/>
  <c r="B18" i="5"/>
  <c r="B4" i="5"/>
  <c r="B30" i="5"/>
  <c r="B35" i="5"/>
  <c r="G29" i="5"/>
  <c r="G30" i="5"/>
  <c r="G3" i="5"/>
  <c r="G12" i="5"/>
  <c r="G35" i="5"/>
  <c r="G17" i="5"/>
  <c r="G34" i="5"/>
  <c r="G13" i="5"/>
  <c r="H29" i="5" l="1"/>
  <c r="G31" i="5"/>
  <c r="H30" i="5"/>
  <c r="G36" i="5"/>
  <c r="G14" i="5"/>
  <c r="H12" i="5"/>
  <c r="H13" i="5"/>
  <c r="B5" i="5"/>
  <c r="B19" i="5"/>
  <c r="G4" i="5"/>
  <c r="G18" i="5"/>
  <c r="H31" i="5" l="1"/>
  <c r="H14" i="5"/>
  <c r="B20" i="5"/>
  <c r="B6" i="5"/>
  <c r="I387" i="4"/>
  <c r="J387" i="4"/>
  <c r="G5" i="5"/>
  <c r="G19" i="5"/>
  <c r="B7" i="5" l="1"/>
  <c r="B21" i="5"/>
  <c r="B208" i="4"/>
  <c r="B112" i="4"/>
  <c r="B386" i="4"/>
  <c r="B378" i="4"/>
  <c r="B374" i="4"/>
  <c r="B366" i="4"/>
  <c r="B344" i="4"/>
  <c r="B270" i="4"/>
  <c r="B249" i="4"/>
  <c r="B245" i="4"/>
  <c r="B212" i="4"/>
  <c r="B202" i="4"/>
  <c r="B174" i="4"/>
  <c r="B160" i="4"/>
  <c r="B151" i="4"/>
  <c r="B92" i="4"/>
  <c r="B69" i="4"/>
  <c r="B65" i="4"/>
  <c r="B42" i="4"/>
  <c r="B43" i="4" s="1"/>
  <c r="B44" i="4" s="1"/>
  <c r="B66" i="4"/>
  <c r="B21" i="4"/>
  <c r="B22" i="4" s="1"/>
  <c r="B23" i="4" s="1"/>
  <c r="B3" i="4"/>
  <c r="I268" i="4"/>
  <c r="I343" i="4"/>
  <c r="I212" i="4"/>
  <c r="G6" i="5"/>
  <c r="I159" i="4"/>
  <c r="I201" i="4"/>
  <c r="I365" i="4"/>
  <c r="I41" i="4"/>
  <c r="I208" i="4"/>
  <c r="I173" i="4"/>
  <c r="I245" i="4"/>
  <c r="I65" i="4"/>
  <c r="G20" i="5"/>
  <c r="I91" i="4"/>
  <c r="I207" i="4"/>
  <c r="I244" i="4"/>
  <c r="I248" i="4"/>
  <c r="I160" i="4"/>
  <c r="I111" i="4"/>
  <c r="I374" i="4"/>
  <c r="I150" i="4"/>
  <c r="I377" i="4"/>
  <c r="I373" i="4"/>
  <c r="B113" i="4" l="1"/>
  <c r="I375" i="4"/>
  <c r="B4" i="4"/>
  <c r="B5" i="4" s="1"/>
  <c r="B22" i="5"/>
  <c r="B8" i="5"/>
  <c r="I66" i="4"/>
  <c r="I246" i="4"/>
  <c r="I209" i="4"/>
  <c r="B152" i="4"/>
  <c r="B345" i="4"/>
  <c r="B367" i="4"/>
  <c r="B24" i="4"/>
  <c r="B175" i="4"/>
  <c r="B45" i="4"/>
  <c r="B213" i="4"/>
  <c r="B203" i="4"/>
  <c r="B379" i="4"/>
  <c r="B250" i="4"/>
  <c r="B114" i="4"/>
  <c r="B70" i="4"/>
  <c r="B93" i="4"/>
  <c r="B271" i="4"/>
  <c r="B272" i="4" s="1"/>
  <c r="B161" i="4"/>
  <c r="J159" i="4"/>
  <c r="J244" i="4"/>
  <c r="J91" i="4"/>
  <c r="J373" i="4"/>
  <c r="J41" i="4"/>
  <c r="J268" i="4"/>
  <c r="J111" i="4"/>
  <c r="J201" i="4"/>
  <c r="J248" i="4"/>
  <c r="J377" i="4"/>
  <c r="J173" i="4"/>
  <c r="J207" i="4"/>
  <c r="J150" i="4"/>
  <c r="J343" i="4"/>
  <c r="J365" i="4"/>
  <c r="J385" i="4" s="1"/>
  <c r="I385" i="4"/>
  <c r="E36" i="3"/>
  <c r="G36" i="3" s="1"/>
  <c r="E38" i="3"/>
  <c r="E37" i="3"/>
  <c r="E35" i="3"/>
  <c r="G35" i="3" s="1"/>
  <c r="I21" i="4"/>
  <c r="I22" i="4"/>
  <c r="I113" i="4"/>
  <c r="I44" i="4"/>
  <c r="I366" i="4"/>
  <c r="I92" i="4"/>
  <c r="I151" i="4"/>
  <c r="I114" i="4"/>
  <c r="I112" i="4"/>
  <c r="I249" i="4"/>
  <c r="I378" i="4"/>
  <c r="I23" i="4"/>
  <c r="I69" i="4"/>
  <c r="I379" i="4"/>
  <c r="I202" i="4"/>
  <c r="G8" i="5"/>
  <c r="I270" i="4"/>
  <c r="I271" i="4"/>
  <c r="I42" i="4"/>
  <c r="I174" i="4"/>
  <c r="I43" i="4"/>
  <c r="G21" i="5"/>
  <c r="I4" i="4"/>
  <c r="I3" i="4"/>
  <c r="I272" i="4"/>
  <c r="G7" i="5"/>
  <c r="I344" i="4"/>
  <c r="G9" i="5" l="1"/>
  <c r="B23" i="5"/>
  <c r="B25" i="4"/>
  <c r="B153" i="4"/>
  <c r="B71" i="4"/>
  <c r="B204" i="4"/>
  <c r="B162" i="4"/>
  <c r="B214" i="4"/>
  <c r="B368" i="4"/>
  <c r="B115" i="4"/>
  <c r="B46" i="4"/>
  <c r="B6" i="4"/>
  <c r="B251" i="4"/>
  <c r="B94" i="4"/>
  <c r="B176" i="4"/>
  <c r="B346" i="4"/>
  <c r="B273" i="4"/>
  <c r="B380" i="4"/>
  <c r="I25" i="2"/>
  <c r="I24" i="4"/>
  <c r="I273" i="4"/>
  <c r="I380" i="4"/>
  <c r="I5" i="4"/>
  <c r="I250" i="4"/>
  <c r="I203" i="4"/>
  <c r="G22" i="5"/>
  <c r="I161" i="4"/>
  <c r="I175" i="4"/>
  <c r="I345" i="4"/>
  <c r="I93" i="4"/>
  <c r="I70" i="4"/>
  <c r="I213" i="4"/>
  <c r="I204" i="4"/>
  <c r="I367" i="4"/>
  <c r="I115" i="4"/>
  <c r="I45" i="4"/>
  <c r="I152" i="4"/>
  <c r="B24" i="5" l="1"/>
  <c r="I205" i="4"/>
  <c r="B7" i="4"/>
  <c r="B154" i="4"/>
  <c r="B163" i="4"/>
  <c r="B347" i="4"/>
  <c r="B177" i="4"/>
  <c r="B47" i="4"/>
  <c r="B26" i="4"/>
  <c r="B369" i="4"/>
  <c r="B72" i="4"/>
  <c r="B95" i="4"/>
  <c r="B116" i="4"/>
  <c r="B252" i="4"/>
  <c r="B215" i="4"/>
  <c r="B274" i="4"/>
  <c r="B381" i="4"/>
  <c r="E3" i="3"/>
  <c r="G3" i="3" s="1"/>
  <c r="E13" i="3"/>
  <c r="G13" i="3" s="1"/>
  <c r="I368" i="4"/>
  <c r="I6" i="4"/>
  <c r="I251" i="4"/>
  <c r="I116" i="4"/>
  <c r="I94" i="4"/>
  <c r="I153" i="4"/>
  <c r="I381" i="4"/>
  <c r="I214" i="4"/>
  <c r="G23" i="5"/>
  <c r="I162" i="4"/>
  <c r="I71" i="4"/>
  <c r="I274" i="4"/>
  <c r="I346" i="4"/>
  <c r="I25" i="4"/>
  <c r="I46" i="4"/>
  <c r="I176" i="4"/>
  <c r="B25" i="5" l="1"/>
  <c r="B178" i="4"/>
  <c r="B8" i="4"/>
  <c r="B253" i="4"/>
  <c r="B370" i="4"/>
  <c r="B348" i="4"/>
  <c r="B27" i="4"/>
  <c r="B117" i="4"/>
  <c r="B164" i="4"/>
  <c r="B96" i="4"/>
  <c r="B155" i="4"/>
  <c r="B48" i="4"/>
  <c r="B216" i="4"/>
  <c r="B73" i="4"/>
  <c r="B275" i="4"/>
  <c r="B382" i="4"/>
  <c r="H252" i="4"/>
  <c r="I26" i="4"/>
  <c r="I47" i="4"/>
  <c r="I117" i="4"/>
  <c r="I163" i="4"/>
  <c r="I382" i="4"/>
  <c r="I95" i="4"/>
  <c r="G25" i="5"/>
  <c r="I154" i="4"/>
  <c r="I215" i="4"/>
  <c r="I370" i="4"/>
  <c r="I252" i="4"/>
  <c r="I7" i="4"/>
  <c r="I369" i="4"/>
  <c r="G24" i="5"/>
  <c r="I177" i="4"/>
  <c r="I347" i="4"/>
  <c r="I275" i="4"/>
  <c r="I72" i="4"/>
  <c r="G26" i="5" l="1"/>
  <c r="G38" i="5" s="1"/>
  <c r="I371" i="4"/>
  <c r="I383" i="4"/>
  <c r="B179" i="4"/>
  <c r="B74" i="4"/>
  <c r="B165" i="4"/>
  <c r="B254" i="4"/>
  <c r="B349" i="4"/>
  <c r="B118" i="4"/>
  <c r="B217" i="4"/>
  <c r="B49" i="4"/>
  <c r="B156" i="4"/>
  <c r="B9" i="4"/>
  <c r="B97" i="4"/>
  <c r="J252" i="4"/>
  <c r="B28" i="4"/>
  <c r="B276" i="4"/>
  <c r="F17" i="5"/>
  <c r="H17" i="5" s="1"/>
  <c r="H324" i="4"/>
  <c r="H279" i="4"/>
  <c r="H74" i="4"/>
  <c r="I155" i="4"/>
  <c r="I156" i="4"/>
  <c r="I178" i="4"/>
  <c r="I8" i="4"/>
  <c r="I96" i="4"/>
  <c r="I164" i="4"/>
  <c r="I276" i="4"/>
  <c r="I27" i="4"/>
  <c r="I118" i="4"/>
  <c r="I348" i="4"/>
  <c r="I73" i="4"/>
  <c r="I253" i="4"/>
  <c r="I48" i="4"/>
  <c r="I216" i="4"/>
  <c r="I157" i="4" l="1"/>
  <c r="B350" i="4"/>
  <c r="B180" i="4"/>
  <c r="B29" i="4"/>
  <c r="B98" i="4"/>
  <c r="B50" i="4"/>
  <c r="B166" i="4"/>
  <c r="B255" i="4"/>
  <c r="B218" i="4"/>
  <c r="B10" i="4"/>
  <c r="B119" i="4"/>
  <c r="B75" i="4"/>
  <c r="B277" i="4"/>
  <c r="E71" i="3"/>
  <c r="I97" i="4"/>
  <c r="I277" i="4"/>
  <c r="I217" i="4"/>
  <c r="I165" i="4"/>
  <c r="I28" i="4"/>
  <c r="I9" i="4"/>
  <c r="I119" i="4"/>
  <c r="I179" i="4"/>
  <c r="I254" i="4"/>
  <c r="I74" i="4"/>
  <c r="I349" i="4"/>
  <c r="I49" i="4"/>
  <c r="J74" i="4" l="1"/>
  <c r="B30" i="4"/>
  <c r="B167" i="4"/>
  <c r="B219" i="4"/>
  <c r="B181" i="4"/>
  <c r="B99" i="4"/>
  <c r="B51" i="4"/>
  <c r="B351" i="4"/>
  <c r="B256" i="4"/>
  <c r="B76" i="4"/>
  <c r="B120" i="4"/>
  <c r="B11" i="4"/>
  <c r="B278" i="4"/>
  <c r="H30" i="4"/>
  <c r="H57" i="4"/>
  <c r="I50" i="4"/>
  <c r="I98" i="4"/>
  <c r="I10" i="4"/>
  <c r="I180" i="4"/>
  <c r="I166" i="4"/>
  <c r="I350" i="4"/>
  <c r="I278" i="4"/>
  <c r="I218" i="4"/>
  <c r="I120" i="4"/>
  <c r="I75" i="4"/>
  <c r="I255" i="4"/>
  <c r="I29" i="4"/>
  <c r="J255" i="4" l="1"/>
  <c r="B220" i="4"/>
  <c r="B12" i="4"/>
  <c r="B168" i="4"/>
  <c r="B121" i="4"/>
  <c r="B77" i="4"/>
  <c r="B100" i="4"/>
  <c r="B31" i="4"/>
  <c r="B352" i="4"/>
  <c r="B182" i="4"/>
  <c r="B52" i="4"/>
  <c r="B257" i="4"/>
  <c r="B279" i="4"/>
  <c r="E4" i="3"/>
  <c r="I256" i="4"/>
  <c r="I351" i="4"/>
  <c r="I279" i="4"/>
  <c r="I76" i="4"/>
  <c r="I51" i="4"/>
  <c r="I181" i="4"/>
  <c r="I11" i="4"/>
  <c r="I99" i="4"/>
  <c r="I219" i="4"/>
  <c r="I30" i="4"/>
  <c r="I167" i="4"/>
  <c r="I121" i="4"/>
  <c r="J30" i="4" l="1"/>
  <c r="J279" i="4"/>
  <c r="B353" i="4"/>
  <c r="B122" i="4"/>
  <c r="B258" i="4"/>
  <c r="B32" i="4"/>
  <c r="B53" i="4"/>
  <c r="B169" i="4"/>
  <c r="B101" i="4"/>
  <c r="B13" i="4"/>
  <c r="B78" i="4"/>
  <c r="B183" i="4"/>
  <c r="B221" i="4"/>
  <c r="B280" i="4"/>
  <c r="E44" i="3"/>
  <c r="E40" i="3"/>
  <c r="G40" i="3" s="1"/>
  <c r="H185" i="4"/>
  <c r="I12" i="4"/>
  <c r="I257" i="4"/>
  <c r="I182" i="4"/>
  <c r="I77" i="4"/>
  <c r="I220" i="4"/>
  <c r="I280" i="4"/>
  <c r="I52" i="4"/>
  <c r="I122" i="4"/>
  <c r="I100" i="4"/>
  <c r="I31" i="4"/>
  <c r="I168" i="4"/>
  <c r="I352" i="4"/>
  <c r="B14" i="4" l="1"/>
  <c r="B33" i="4"/>
  <c r="B222" i="4"/>
  <c r="B102" i="4"/>
  <c r="B259" i="4"/>
  <c r="B184" i="4"/>
  <c r="B170" i="4"/>
  <c r="B123" i="4"/>
  <c r="B79" i="4"/>
  <c r="B354" i="4"/>
  <c r="B54" i="4"/>
  <c r="B281" i="4"/>
  <c r="H166" i="4"/>
  <c r="J166" i="4" s="1"/>
  <c r="I258" i="4"/>
  <c r="I123" i="4"/>
  <c r="I32" i="4"/>
  <c r="I281" i="4"/>
  <c r="I169" i="4"/>
  <c r="I183" i="4"/>
  <c r="I13" i="4"/>
  <c r="I53" i="4"/>
  <c r="I78" i="4"/>
  <c r="I101" i="4"/>
  <c r="I170" i="4"/>
  <c r="I221" i="4"/>
  <c r="I353" i="4"/>
  <c r="I171" i="4" l="1"/>
  <c r="B55" i="4"/>
  <c r="B223" i="4"/>
  <c r="B124" i="4"/>
  <c r="B103" i="4"/>
  <c r="B34" i="4"/>
  <c r="B185" i="4"/>
  <c r="B355" i="4"/>
  <c r="B80" i="4"/>
  <c r="B260" i="4"/>
  <c r="B15" i="4"/>
  <c r="B282" i="4"/>
  <c r="H300" i="4"/>
  <c r="I184" i="4"/>
  <c r="I33" i="4"/>
  <c r="I14" i="4"/>
  <c r="I354" i="4"/>
  <c r="I259" i="4"/>
  <c r="I282" i="4"/>
  <c r="I222" i="4"/>
  <c r="I54" i="4"/>
  <c r="I124" i="4"/>
  <c r="I79" i="4"/>
  <c r="I102" i="4"/>
  <c r="B81" i="4" l="1"/>
  <c r="B104" i="4"/>
  <c r="B125" i="4"/>
  <c r="B186" i="4"/>
  <c r="B224" i="4"/>
  <c r="B16" i="4"/>
  <c r="B356" i="4"/>
  <c r="B261" i="4"/>
  <c r="B35" i="4"/>
  <c r="B56" i="4"/>
  <c r="B283" i="4"/>
  <c r="H163" i="4"/>
  <c r="J163" i="4" s="1"/>
  <c r="I103" i="4"/>
  <c r="I34" i="4"/>
  <c r="I80" i="4"/>
  <c r="I260" i="4"/>
  <c r="I223" i="4"/>
  <c r="I283" i="4"/>
  <c r="I15" i="4"/>
  <c r="I355" i="4"/>
  <c r="I125" i="4"/>
  <c r="I55" i="4"/>
  <c r="I185" i="4"/>
  <c r="J185" i="4" l="1"/>
  <c r="B82" i="4"/>
  <c r="B262" i="4"/>
  <c r="B187" i="4"/>
  <c r="B57" i="4"/>
  <c r="B17" i="4"/>
  <c r="B126" i="4"/>
  <c r="B105" i="4"/>
  <c r="B357" i="4"/>
  <c r="B36" i="4"/>
  <c r="B225" i="4"/>
  <c r="B284" i="4"/>
  <c r="G154" i="4"/>
  <c r="I81" i="4"/>
  <c r="I186" i="4"/>
  <c r="I261" i="4"/>
  <c r="I16" i="4"/>
  <c r="I35" i="4"/>
  <c r="I224" i="4"/>
  <c r="I56" i="4"/>
  <c r="I126" i="4"/>
  <c r="I17" i="4"/>
  <c r="I104" i="4"/>
  <c r="I356" i="4"/>
  <c r="I18" i="4" l="1"/>
  <c r="B358" i="4"/>
  <c r="B58" i="4"/>
  <c r="B285" i="4"/>
  <c r="B188" i="4"/>
  <c r="B127" i="4"/>
  <c r="B263" i="4"/>
  <c r="B106" i="4"/>
  <c r="B226" i="4"/>
  <c r="B37" i="4"/>
  <c r="B83" i="4"/>
  <c r="K364" i="4"/>
  <c r="I36" i="4"/>
  <c r="I82" i="4"/>
  <c r="I284" i="4"/>
  <c r="I357" i="4"/>
  <c r="I187" i="4"/>
  <c r="I225" i="4"/>
  <c r="I127" i="4"/>
  <c r="I262" i="4"/>
  <c r="I57" i="4"/>
  <c r="I105" i="4"/>
  <c r="J57" i="4" l="1"/>
  <c r="B227" i="4"/>
  <c r="B189" i="4"/>
  <c r="B286" i="4"/>
  <c r="B84" i="4"/>
  <c r="B264" i="4"/>
  <c r="B265" i="4" s="1"/>
  <c r="B59" i="4"/>
  <c r="B107" i="4"/>
  <c r="B38" i="4"/>
  <c r="B128" i="4"/>
  <c r="B359" i="4"/>
  <c r="G186" i="4"/>
  <c r="K109" i="4"/>
  <c r="I58" i="4"/>
  <c r="I188" i="4"/>
  <c r="I83" i="4"/>
  <c r="I226" i="4"/>
  <c r="I106" i="4"/>
  <c r="I128" i="4"/>
  <c r="I358" i="4"/>
  <c r="I263" i="4"/>
  <c r="I37" i="4"/>
  <c r="I285" i="4"/>
  <c r="I265" i="4"/>
  <c r="I38" i="4"/>
  <c r="J265" i="4" l="1"/>
  <c r="I39" i="4"/>
  <c r="B287" i="4"/>
  <c r="B108" i="4"/>
  <c r="B190" i="4"/>
  <c r="B360" i="4"/>
  <c r="B60" i="4"/>
  <c r="B85" i="4"/>
  <c r="B228" i="4"/>
  <c r="B129" i="4"/>
  <c r="E39" i="3"/>
  <c r="G39" i="3" s="1"/>
  <c r="M13" i="3"/>
  <c r="M6" i="3"/>
  <c r="I59" i="4"/>
  <c r="I264" i="4"/>
  <c r="I189" i="4"/>
  <c r="I286" i="4"/>
  <c r="I84" i="4"/>
  <c r="I108" i="4"/>
  <c r="I227" i="4"/>
  <c r="I129" i="4"/>
  <c r="I359" i="4"/>
  <c r="I107" i="4"/>
  <c r="I266" i="4" l="1"/>
  <c r="I109" i="4"/>
  <c r="B229" i="4"/>
  <c r="B288" i="4"/>
  <c r="B86" i="4"/>
  <c r="B61" i="4"/>
  <c r="B191" i="4"/>
  <c r="B130" i="4"/>
  <c r="B361" i="4"/>
  <c r="M7" i="3"/>
  <c r="M8" i="3"/>
  <c r="I85" i="4"/>
  <c r="I60" i="4"/>
  <c r="I190" i="4"/>
  <c r="I61" i="4"/>
  <c r="I287" i="4"/>
  <c r="I228" i="4"/>
  <c r="I130" i="4"/>
  <c r="I360" i="4"/>
  <c r="I62" i="4" l="1"/>
  <c r="B87" i="4"/>
  <c r="B131" i="4"/>
  <c r="B289" i="4"/>
  <c r="B362" i="4"/>
  <c r="B230" i="4"/>
  <c r="B192" i="4"/>
  <c r="M11" i="3"/>
  <c r="M30" i="2"/>
  <c r="M27" i="2"/>
  <c r="M16" i="2"/>
  <c r="M10" i="2"/>
  <c r="M4" i="2"/>
  <c r="I131" i="4"/>
  <c r="I288" i="4"/>
  <c r="I229" i="4"/>
  <c r="I86" i="4"/>
  <c r="I361" i="4"/>
  <c r="I191" i="4"/>
  <c r="I362" i="4"/>
  <c r="I363" i="4" l="1"/>
  <c r="B290" i="4"/>
  <c r="B193" i="4"/>
  <c r="B132" i="4"/>
  <c r="B231" i="4"/>
  <c r="B88" i="4"/>
  <c r="M31" i="2"/>
  <c r="I87" i="4"/>
  <c r="I88" i="4"/>
  <c r="I192" i="4"/>
  <c r="I289" i="4"/>
  <c r="I132" i="4"/>
  <c r="I230" i="4"/>
  <c r="I89" i="4" l="1"/>
  <c r="B232" i="4"/>
  <c r="B133" i="4"/>
  <c r="B194" i="4"/>
  <c r="B291" i="4"/>
  <c r="H258" i="4"/>
  <c r="J258" i="4" s="1"/>
  <c r="I290" i="4"/>
  <c r="I231" i="4"/>
  <c r="I133" i="4"/>
  <c r="I193" i="4"/>
  <c r="B195" i="4" l="1"/>
  <c r="B134" i="4"/>
  <c r="B292" i="4"/>
  <c r="B233" i="4"/>
  <c r="H348" i="4"/>
  <c r="J348" i="4" s="1"/>
  <c r="H356" i="4"/>
  <c r="J356" i="4" s="1"/>
  <c r="H362" i="4"/>
  <c r="J362" i="4" s="1"/>
  <c r="H361" i="4"/>
  <c r="J361" i="4" s="1"/>
  <c r="H355" i="4"/>
  <c r="J355" i="4" s="1"/>
  <c r="I134" i="4"/>
  <c r="I291" i="4"/>
  <c r="I194" i="4"/>
  <c r="I232" i="4"/>
  <c r="B196" i="4" l="1"/>
  <c r="B234" i="4"/>
  <c r="B293" i="4"/>
  <c r="B135" i="4"/>
  <c r="H241" i="4"/>
  <c r="H240" i="4"/>
  <c r="H239" i="4"/>
  <c r="H238" i="4"/>
  <c r="H237" i="4"/>
  <c r="H236" i="4"/>
  <c r="H233" i="4"/>
  <c r="H229" i="4"/>
  <c r="J229" i="4" s="1"/>
  <c r="K227" i="4"/>
  <c r="G227" i="4"/>
  <c r="H227" i="4" s="1"/>
  <c r="J227" i="4" s="1"/>
  <c r="H220" i="4"/>
  <c r="J220" i="4" s="1"/>
  <c r="H219" i="4"/>
  <c r="J219" i="4" s="1"/>
  <c r="H218" i="4"/>
  <c r="J218" i="4" s="1"/>
  <c r="H217" i="4"/>
  <c r="J217" i="4" s="1"/>
  <c r="K216" i="4"/>
  <c r="G216" i="4"/>
  <c r="H216" i="4" s="1"/>
  <c r="J216" i="4" s="1"/>
  <c r="I292" i="4"/>
  <c r="I233" i="4"/>
  <c r="I195" i="4"/>
  <c r="I135" i="4"/>
  <c r="B197" i="4" l="1"/>
  <c r="B136" i="4"/>
  <c r="B294" i="4"/>
  <c r="B235" i="4"/>
  <c r="J233" i="4"/>
  <c r="H129" i="4"/>
  <c r="J129" i="4" s="1"/>
  <c r="H112" i="4"/>
  <c r="J112" i="4" s="1"/>
  <c r="I293" i="4"/>
  <c r="I234" i="4"/>
  <c r="I196" i="4"/>
  <c r="I136" i="4"/>
  <c r="B236" i="4" l="1"/>
  <c r="B295" i="4"/>
  <c r="B137" i="4"/>
  <c r="B198" i="4"/>
  <c r="H123" i="4"/>
  <c r="J123" i="4" s="1"/>
  <c r="H73" i="4"/>
  <c r="J73" i="4" s="1"/>
  <c r="I235" i="4"/>
  <c r="I294" i="4"/>
  <c r="I198" i="4"/>
  <c r="I137" i="4"/>
  <c r="I199" i="4" l="1"/>
  <c r="I211" i="4" s="1"/>
  <c r="B296" i="4"/>
  <c r="B138" i="4"/>
  <c r="B237" i="4"/>
  <c r="H24" i="4"/>
  <c r="J24" i="4" s="1"/>
  <c r="I138" i="4"/>
  <c r="I236" i="4"/>
  <c r="I295" i="4"/>
  <c r="J236" i="4" l="1"/>
  <c r="B139" i="4"/>
  <c r="B238" i="4"/>
  <c r="B297" i="4"/>
  <c r="K30" i="2"/>
  <c r="E9" i="3"/>
  <c r="G9" i="3" s="1"/>
  <c r="I139" i="4"/>
  <c r="I237" i="4"/>
  <c r="I296" i="4"/>
  <c r="J237" i="4" l="1"/>
  <c r="B298" i="4"/>
  <c r="B239" i="4"/>
  <c r="B140" i="4"/>
  <c r="I36" i="5"/>
  <c r="F35" i="5"/>
  <c r="F34" i="5"/>
  <c r="F31" i="5"/>
  <c r="I26" i="5"/>
  <c r="F25" i="5"/>
  <c r="F24" i="5"/>
  <c r="F23" i="5"/>
  <c r="F22" i="5"/>
  <c r="F21" i="5"/>
  <c r="F20" i="5"/>
  <c r="F19" i="5"/>
  <c r="H19" i="5" s="1"/>
  <c r="F18" i="5"/>
  <c r="H18" i="5" s="1"/>
  <c r="I14" i="5"/>
  <c r="F14" i="5"/>
  <c r="I9" i="5"/>
  <c r="F8" i="5"/>
  <c r="F7" i="5"/>
  <c r="F6" i="5"/>
  <c r="F5" i="5"/>
  <c r="F4" i="5"/>
  <c r="F3" i="5"/>
  <c r="H3" i="5" s="1"/>
  <c r="K387" i="4"/>
  <c r="H387" i="4"/>
  <c r="K383" i="4"/>
  <c r="H378" i="4"/>
  <c r="J378" i="4" s="1"/>
  <c r="H379" i="4"/>
  <c r="J379" i="4" s="1"/>
  <c r="H382" i="4"/>
  <c r="J382" i="4" s="1"/>
  <c r="H381" i="4"/>
  <c r="J381" i="4" s="1"/>
  <c r="H380" i="4"/>
  <c r="J380" i="4" s="1"/>
  <c r="K375" i="4"/>
  <c r="H374" i="4"/>
  <c r="K371" i="4"/>
  <c r="G370" i="4"/>
  <c r="H370" i="4" s="1"/>
  <c r="J370" i="4" s="1"/>
  <c r="G369" i="4"/>
  <c r="H369" i="4" s="1"/>
  <c r="J369" i="4" s="1"/>
  <c r="G368" i="4"/>
  <c r="H368" i="4" s="1"/>
  <c r="J368" i="4" s="1"/>
  <c r="G367" i="4"/>
  <c r="H367" i="4" s="1"/>
  <c r="G366" i="4"/>
  <c r="H366" i="4" s="1"/>
  <c r="J366" i="4" s="1"/>
  <c r="K363" i="4"/>
  <c r="H349" i="4"/>
  <c r="J349" i="4" s="1"/>
  <c r="H345" i="4"/>
  <c r="J345" i="4" s="1"/>
  <c r="H357" i="4"/>
  <c r="J357" i="4" s="1"/>
  <c r="H360" i="4"/>
  <c r="J360" i="4" s="1"/>
  <c r="H344" i="4"/>
  <c r="H359" i="4"/>
  <c r="J359" i="4" s="1"/>
  <c r="H358" i="4"/>
  <c r="J358" i="4" s="1"/>
  <c r="H354" i="4"/>
  <c r="J354" i="4" s="1"/>
  <c r="H353" i="4"/>
  <c r="J353" i="4" s="1"/>
  <c r="H352" i="4"/>
  <c r="J352" i="4" s="1"/>
  <c r="H351" i="4"/>
  <c r="J351" i="4" s="1"/>
  <c r="H350" i="4"/>
  <c r="J350" i="4" s="1"/>
  <c r="H347" i="4"/>
  <c r="J347" i="4" s="1"/>
  <c r="H346" i="4"/>
  <c r="J346" i="4" s="1"/>
  <c r="K342" i="4"/>
  <c r="H341" i="4"/>
  <c r="H282" i="4"/>
  <c r="J282" i="4" s="1"/>
  <c r="H285" i="4"/>
  <c r="J285" i="4" s="1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280" i="4"/>
  <c r="J280" i="4" s="1"/>
  <c r="H308" i="4"/>
  <c r="H307" i="4"/>
  <c r="H306" i="4"/>
  <c r="H305" i="4"/>
  <c r="H304" i="4"/>
  <c r="H303" i="4"/>
  <c r="H302" i="4"/>
  <c r="H301" i="4"/>
  <c r="H299" i="4"/>
  <c r="H298" i="4"/>
  <c r="H297" i="4"/>
  <c r="H296" i="4"/>
  <c r="J296" i="4" s="1"/>
  <c r="H295" i="4"/>
  <c r="J295" i="4" s="1"/>
  <c r="H294" i="4"/>
  <c r="J294" i="4" s="1"/>
  <c r="H293" i="4"/>
  <c r="J293" i="4" s="1"/>
  <c r="H292" i="4"/>
  <c r="J292" i="4" s="1"/>
  <c r="H291" i="4"/>
  <c r="J291" i="4" s="1"/>
  <c r="H290" i="4"/>
  <c r="H289" i="4"/>
  <c r="H288" i="4"/>
  <c r="H287" i="4"/>
  <c r="H286" i="4"/>
  <c r="J286" i="4" s="1"/>
  <c r="H284" i="4"/>
  <c r="J284" i="4" s="1"/>
  <c r="H283" i="4"/>
  <c r="J283" i="4" s="1"/>
  <c r="H281" i="4"/>
  <c r="J281" i="4" s="1"/>
  <c r="H278" i="4"/>
  <c r="J278" i="4" s="1"/>
  <c r="H277" i="4"/>
  <c r="J277" i="4" s="1"/>
  <c r="H276" i="4"/>
  <c r="J276" i="4" s="1"/>
  <c r="H275" i="4"/>
  <c r="J275" i="4" s="1"/>
  <c r="H274" i="4"/>
  <c r="J274" i="4" s="1"/>
  <c r="H273" i="4"/>
  <c r="J273" i="4" s="1"/>
  <c r="H272" i="4"/>
  <c r="J272" i="4" s="1"/>
  <c r="H271" i="4"/>
  <c r="J271" i="4" s="1"/>
  <c r="H270" i="4"/>
  <c r="J270" i="4" s="1"/>
  <c r="K266" i="4"/>
  <c r="H251" i="4"/>
  <c r="J251" i="4" s="1"/>
  <c r="H264" i="4"/>
  <c r="J264" i="4" s="1"/>
  <c r="H263" i="4"/>
  <c r="H262" i="4"/>
  <c r="H261" i="4"/>
  <c r="H260" i="4"/>
  <c r="J260" i="4" s="1"/>
  <c r="H259" i="4"/>
  <c r="H257" i="4"/>
  <c r="H256" i="4"/>
  <c r="J256" i="4" s="1"/>
  <c r="H254" i="4"/>
  <c r="J254" i="4" s="1"/>
  <c r="H253" i="4"/>
  <c r="J253" i="4" s="1"/>
  <c r="H250" i="4"/>
  <c r="H249" i="4"/>
  <c r="K246" i="4"/>
  <c r="H245" i="4"/>
  <c r="J245" i="4" s="1"/>
  <c r="J246" i="4" s="1"/>
  <c r="K242" i="4"/>
  <c r="H235" i="4"/>
  <c r="J235" i="4" s="1"/>
  <c r="H234" i="4"/>
  <c r="J234" i="4" s="1"/>
  <c r="H232" i="4"/>
  <c r="J232" i="4" s="1"/>
  <c r="H231" i="4"/>
  <c r="J231" i="4" s="1"/>
  <c r="H230" i="4"/>
  <c r="J230" i="4" s="1"/>
  <c r="H228" i="4"/>
  <c r="J228" i="4" s="1"/>
  <c r="H226" i="4"/>
  <c r="J226" i="4" s="1"/>
  <c r="H225" i="4"/>
  <c r="J225" i="4" s="1"/>
  <c r="H224" i="4"/>
  <c r="H223" i="4"/>
  <c r="H222" i="4"/>
  <c r="H221" i="4"/>
  <c r="H215" i="4"/>
  <c r="J215" i="4" s="1"/>
  <c r="G214" i="4"/>
  <c r="H214" i="4" s="1"/>
  <c r="J214" i="4" s="1"/>
  <c r="H213" i="4"/>
  <c r="J213" i="4" s="1"/>
  <c r="H212" i="4"/>
  <c r="J212" i="4" s="1"/>
  <c r="K209" i="4"/>
  <c r="H208" i="4"/>
  <c r="K205" i="4"/>
  <c r="H204" i="4"/>
  <c r="J204" i="4" s="1"/>
  <c r="H203" i="4"/>
  <c r="H202" i="4"/>
  <c r="J202" i="4" s="1"/>
  <c r="K199" i="4"/>
  <c r="H198" i="4"/>
  <c r="J198" i="4" s="1"/>
  <c r="H197" i="4"/>
  <c r="J197" i="4" s="1"/>
  <c r="H196" i="4"/>
  <c r="J196" i="4" s="1"/>
  <c r="H195" i="4"/>
  <c r="J195" i="4" s="1"/>
  <c r="H194" i="4"/>
  <c r="J194" i="4" s="1"/>
  <c r="H193" i="4"/>
  <c r="J193" i="4" s="1"/>
  <c r="H192" i="4"/>
  <c r="J192" i="4" s="1"/>
  <c r="H191" i="4"/>
  <c r="J191" i="4" s="1"/>
  <c r="H190" i="4"/>
  <c r="J190" i="4" s="1"/>
  <c r="H189" i="4"/>
  <c r="J189" i="4" s="1"/>
  <c r="H188" i="4"/>
  <c r="J188" i="4" s="1"/>
  <c r="H187" i="4"/>
  <c r="J187" i="4" s="1"/>
  <c r="H186" i="4"/>
  <c r="J186" i="4" s="1"/>
  <c r="H184" i="4"/>
  <c r="J184" i="4" s="1"/>
  <c r="H183" i="4"/>
  <c r="H182" i="4"/>
  <c r="H181" i="4"/>
  <c r="H180" i="4"/>
  <c r="J180" i="4" s="1"/>
  <c r="H179" i="4"/>
  <c r="J179" i="4" s="1"/>
  <c r="H178" i="4"/>
  <c r="J178" i="4" s="1"/>
  <c r="H177" i="4"/>
  <c r="J177" i="4" s="1"/>
  <c r="H176" i="4"/>
  <c r="J176" i="4" s="1"/>
  <c r="H175" i="4"/>
  <c r="H174" i="4"/>
  <c r="J174" i="4" s="1"/>
  <c r="K171" i="4"/>
  <c r="G170" i="4"/>
  <c r="H170" i="4" s="1"/>
  <c r="G169" i="4"/>
  <c r="H169" i="4" s="1"/>
  <c r="H168" i="4"/>
  <c r="J168" i="4" s="1"/>
  <c r="H167" i="4"/>
  <c r="J167" i="4" s="1"/>
  <c r="H165" i="4"/>
  <c r="J165" i="4" s="1"/>
  <c r="H164" i="4"/>
  <c r="J164" i="4" s="1"/>
  <c r="G162" i="4"/>
  <c r="H162" i="4" s="1"/>
  <c r="H161" i="4"/>
  <c r="G160" i="4"/>
  <c r="H160" i="4" s="1"/>
  <c r="J160" i="4" s="1"/>
  <c r="K157" i="4"/>
  <c r="H156" i="4"/>
  <c r="J156" i="4" s="1"/>
  <c r="H155" i="4"/>
  <c r="J155" i="4" s="1"/>
  <c r="H154" i="4"/>
  <c r="J154" i="4" s="1"/>
  <c r="H153" i="4"/>
  <c r="J153" i="4" s="1"/>
  <c r="H152" i="4"/>
  <c r="H151" i="4"/>
  <c r="J151" i="4" s="1"/>
  <c r="K148" i="4"/>
  <c r="H147" i="4"/>
  <c r="H146" i="4"/>
  <c r="H145" i="4"/>
  <c r="H144" i="4"/>
  <c r="H143" i="4"/>
  <c r="H142" i="4"/>
  <c r="G141" i="4"/>
  <c r="H141" i="4" s="1"/>
  <c r="H140" i="4"/>
  <c r="G139" i="4"/>
  <c r="H139" i="4" s="1"/>
  <c r="H138" i="4"/>
  <c r="J138" i="4" s="1"/>
  <c r="H137" i="4"/>
  <c r="J137" i="4" s="1"/>
  <c r="H136" i="4"/>
  <c r="J136" i="4" s="1"/>
  <c r="H135" i="4"/>
  <c r="J135" i="4" s="1"/>
  <c r="H134" i="4"/>
  <c r="J134" i="4" s="1"/>
  <c r="H133" i="4"/>
  <c r="J133" i="4" s="1"/>
  <c r="H132" i="4"/>
  <c r="J132" i="4" s="1"/>
  <c r="H131" i="4"/>
  <c r="J131" i="4" s="1"/>
  <c r="H130" i="4"/>
  <c r="J130" i="4" s="1"/>
  <c r="H128" i="4"/>
  <c r="J128" i="4" s="1"/>
  <c r="H127" i="4"/>
  <c r="J127" i="4" s="1"/>
  <c r="H126" i="4"/>
  <c r="J126" i="4" s="1"/>
  <c r="H125" i="4"/>
  <c r="J125" i="4" s="1"/>
  <c r="H124" i="4"/>
  <c r="J124" i="4" s="1"/>
  <c r="H122" i="4"/>
  <c r="J122" i="4" s="1"/>
  <c r="H121" i="4"/>
  <c r="H120" i="4"/>
  <c r="H119" i="4"/>
  <c r="H118" i="4"/>
  <c r="J118" i="4" s="1"/>
  <c r="H117" i="4"/>
  <c r="J117" i="4" s="1"/>
  <c r="H116" i="4"/>
  <c r="J116" i="4" s="1"/>
  <c r="H115" i="4"/>
  <c r="J115" i="4" s="1"/>
  <c r="H114" i="4"/>
  <c r="J114" i="4" s="1"/>
  <c r="H113" i="4"/>
  <c r="J113" i="4" s="1"/>
  <c r="H98" i="4"/>
  <c r="H108" i="4"/>
  <c r="J108" i="4" s="1"/>
  <c r="H107" i="4"/>
  <c r="J107" i="4" s="1"/>
  <c r="H106" i="4"/>
  <c r="J106" i="4" s="1"/>
  <c r="H105" i="4"/>
  <c r="J105" i="4" s="1"/>
  <c r="H104" i="4"/>
  <c r="J104" i="4" s="1"/>
  <c r="H103" i="4"/>
  <c r="J103" i="4" s="1"/>
  <c r="H102" i="4"/>
  <c r="J102" i="4" s="1"/>
  <c r="H101" i="4"/>
  <c r="J101" i="4" s="1"/>
  <c r="H100" i="4"/>
  <c r="H99" i="4"/>
  <c r="H97" i="4"/>
  <c r="H96" i="4"/>
  <c r="J96" i="4" s="1"/>
  <c r="H95" i="4"/>
  <c r="J95" i="4" s="1"/>
  <c r="H94" i="4"/>
  <c r="J94" i="4" s="1"/>
  <c r="H93" i="4"/>
  <c r="J93" i="4" s="1"/>
  <c r="H92" i="4"/>
  <c r="J92" i="4" s="1"/>
  <c r="K89" i="4"/>
  <c r="H88" i="4"/>
  <c r="J88" i="4" s="1"/>
  <c r="H87" i="4"/>
  <c r="J87" i="4" s="1"/>
  <c r="H86" i="4"/>
  <c r="J86" i="4" s="1"/>
  <c r="H85" i="4"/>
  <c r="J85" i="4" s="1"/>
  <c r="H84" i="4"/>
  <c r="J84" i="4" s="1"/>
  <c r="H83" i="4"/>
  <c r="J83" i="4" s="1"/>
  <c r="H82" i="4"/>
  <c r="J82" i="4" s="1"/>
  <c r="H81" i="4"/>
  <c r="J81" i="4" s="1"/>
  <c r="H80" i="4"/>
  <c r="J80" i="4" s="1"/>
  <c r="H79" i="4"/>
  <c r="J79" i="4" s="1"/>
  <c r="H78" i="4"/>
  <c r="J78" i="4" s="1"/>
  <c r="H77" i="4"/>
  <c r="J77" i="4" s="1"/>
  <c r="H76" i="4"/>
  <c r="J76" i="4" s="1"/>
  <c r="H75" i="4"/>
  <c r="J75" i="4" s="1"/>
  <c r="H72" i="4"/>
  <c r="J72" i="4" s="1"/>
  <c r="H71" i="4"/>
  <c r="J71" i="4" s="1"/>
  <c r="H70" i="4"/>
  <c r="J70" i="4" s="1"/>
  <c r="H69" i="4"/>
  <c r="J69" i="4" s="1"/>
  <c r="K66" i="4"/>
  <c r="H65" i="4"/>
  <c r="K62" i="4"/>
  <c r="H61" i="4"/>
  <c r="J61" i="4" s="1"/>
  <c r="H60" i="4"/>
  <c r="J60" i="4" s="1"/>
  <c r="H59" i="4"/>
  <c r="J59" i="4" s="1"/>
  <c r="H58" i="4"/>
  <c r="J58" i="4" s="1"/>
  <c r="H56" i="4"/>
  <c r="J56" i="4" s="1"/>
  <c r="H55" i="4"/>
  <c r="J55" i="4" s="1"/>
  <c r="H54" i="4"/>
  <c r="J54" i="4" s="1"/>
  <c r="H53" i="4"/>
  <c r="J53" i="4" s="1"/>
  <c r="H52" i="4"/>
  <c r="J52" i="4" s="1"/>
  <c r="H51" i="4"/>
  <c r="J51" i="4" s="1"/>
  <c r="H50" i="4"/>
  <c r="J50" i="4" s="1"/>
  <c r="H49" i="4"/>
  <c r="J49" i="4" s="1"/>
  <c r="H48" i="4"/>
  <c r="J48" i="4" s="1"/>
  <c r="H47" i="4"/>
  <c r="J47" i="4" s="1"/>
  <c r="H46" i="4"/>
  <c r="J46" i="4" s="1"/>
  <c r="H45" i="4"/>
  <c r="J45" i="4" s="1"/>
  <c r="H44" i="4"/>
  <c r="J44" i="4" s="1"/>
  <c r="H43" i="4"/>
  <c r="J43" i="4" s="1"/>
  <c r="H42" i="4"/>
  <c r="J42" i="4" s="1"/>
  <c r="K39" i="4"/>
  <c r="H38" i="4"/>
  <c r="H37" i="4"/>
  <c r="J37" i="4" s="1"/>
  <c r="H36" i="4"/>
  <c r="J36" i="4" s="1"/>
  <c r="H35" i="4"/>
  <c r="J35" i="4" s="1"/>
  <c r="H34" i="4"/>
  <c r="J34" i="4" s="1"/>
  <c r="H33" i="4"/>
  <c r="J33" i="4" s="1"/>
  <c r="H32" i="4"/>
  <c r="J32" i="4" s="1"/>
  <c r="H31" i="4"/>
  <c r="J31" i="4" s="1"/>
  <c r="H29" i="4"/>
  <c r="J29" i="4" s="1"/>
  <c r="H28" i="4"/>
  <c r="J28" i="4" s="1"/>
  <c r="H27" i="4"/>
  <c r="J27" i="4" s="1"/>
  <c r="H26" i="4"/>
  <c r="J26" i="4" s="1"/>
  <c r="H25" i="4"/>
  <c r="J25" i="4" s="1"/>
  <c r="H23" i="4"/>
  <c r="J23" i="4" s="1"/>
  <c r="H22" i="4"/>
  <c r="J22" i="4" s="1"/>
  <c r="H21" i="4"/>
  <c r="J21" i="4" s="1"/>
  <c r="K18" i="4"/>
  <c r="H17" i="4"/>
  <c r="J17" i="4" s="1"/>
  <c r="H16" i="4"/>
  <c r="J16" i="4" s="1"/>
  <c r="H15" i="4"/>
  <c r="J15" i="4" s="1"/>
  <c r="H14" i="4"/>
  <c r="J14" i="4" s="1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J7" i="4" s="1"/>
  <c r="H6" i="4"/>
  <c r="J6" i="4" s="1"/>
  <c r="H5" i="4"/>
  <c r="J5" i="4" s="1"/>
  <c r="H4" i="4"/>
  <c r="J4" i="4" s="1"/>
  <c r="H3" i="4"/>
  <c r="J3" i="4" s="1"/>
  <c r="H60" i="3"/>
  <c r="H61" i="3" s="1"/>
  <c r="E60" i="3"/>
  <c r="H53" i="3"/>
  <c r="H49" i="3"/>
  <c r="H39" i="3"/>
  <c r="H38" i="3"/>
  <c r="H37" i="3"/>
  <c r="H36" i="3"/>
  <c r="H30" i="3"/>
  <c r="E29" i="3"/>
  <c r="E28" i="3"/>
  <c r="E27" i="3"/>
  <c r="E26" i="3"/>
  <c r="E25" i="3"/>
  <c r="H22" i="3"/>
  <c r="E21" i="3"/>
  <c r="G21" i="3" s="1"/>
  <c r="E20" i="3"/>
  <c r="G20" i="3" s="1"/>
  <c r="E19" i="3"/>
  <c r="G19" i="3" s="1"/>
  <c r="H15" i="3"/>
  <c r="E14" i="3"/>
  <c r="G14" i="3" s="1"/>
  <c r="H13" i="3"/>
  <c r="H7" i="3"/>
  <c r="E73" i="3"/>
  <c r="H3" i="3"/>
  <c r="N17" i="3" s="1"/>
  <c r="I31" i="2"/>
  <c r="I34" i="2" s="1"/>
  <c r="I37" i="2" s="1"/>
  <c r="H31" i="2"/>
  <c r="H34" i="2" s="1"/>
  <c r="H37" i="2" s="1"/>
  <c r="G31" i="2"/>
  <c r="G34" i="2" s="1"/>
  <c r="F31" i="2"/>
  <c r="F34" i="2" s="1"/>
  <c r="F37" i="2" s="1"/>
  <c r="D31" i="2"/>
  <c r="D34" i="2" s="1"/>
  <c r="D37" i="2" s="1"/>
  <c r="E27" i="2"/>
  <c r="E31" i="2" s="1"/>
  <c r="E34" i="2" s="1"/>
  <c r="C27" i="2"/>
  <c r="C31" i="2" s="1"/>
  <c r="C34" i="2" s="1"/>
  <c r="I297" i="4"/>
  <c r="I140" i="4"/>
  <c r="I238" i="4"/>
  <c r="E61" i="3" l="1"/>
  <c r="G60" i="3"/>
  <c r="J249" i="4"/>
  <c r="H266" i="4"/>
  <c r="J344" i="4"/>
  <c r="J363" i="4" s="1"/>
  <c r="H363" i="4"/>
  <c r="J62" i="4"/>
  <c r="J238" i="4"/>
  <c r="J99" i="4"/>
  <c r="J221" i="4"/>
  <c r="J100" i="4"/>
  <c r="J119" i="4"/>
  <c r="J222" i="4"/>
  <c r="J290" i="4"/>
  <c r="H5" i="5"/>
  <c r="H25" i="5"/>
  <c r="J297" i="4"/>
  <c r="H24" i="5"/>
  <c r="J98" i="4"/>
  <c r="J120" i="4"/>
  <c r="J223" i="4"/>
  <c r="J261" i="4"/>
  <c r="H6" i="5"/>
  <c r="B141" i="4"/>
  <c r="J121" i="4"/>
  <c r="J224" i="4"/>
  <c r="J262" i="4"/>
  <c r="J383" i="4"/>
  <c r="H7" i="5"/>
  <c r="H66" i="4"/>
  <c r="J11" i="2" s="1"/>
  <c r="K11" i="2" s="1"/>
  <c r="G66" i="4" s="1"/>
  <c r="J65" i="4"/>
  <c r="J66" i="4" s="1"/>
  <c r="J139" i="4"/>
  <c r="J169" i="4"/>
  <c r="J263" i="4"/>
  <c r="H8" i="5"/>
  <c r="H20" i="5"/>
  <c r="B240" i="4"/>
  <c r="J183" i="4"/>
  <c r="J170" i="4"/>
  <c r="H21" i="5"/>
  <c r="J289" i="4"/>
  <c r="H4" i="5"/>
  <c r="J38" i="4"/>
  <c r="J161" i="4"/>
  <c r="J181" i="4"/>
  <c r="J257" i="4"/>
  <c r="J287" i="4"/>
  <c r="H22" i="5"/>
  <c r="H34" i="5"/>
  <c r="B299" i="4"/>
  <c r="J259" i="4"/>
  <c r="J89" i="4"/>
  <c r="J97" i="4"/>
  <c r="J162" i="4"/>
  <c r="J182" i="4"/>
  <c r="J288" i="4"/>
  <c r="H23" i="5"/>
  <c r="H35" i="5"/>
  <c r="J250" i="4"/>
  <c r="J203" i="4"/>
  <c r="J205" i="4" s="1"/>
  <c r="H209" i="4"/>
  <c r="J19" i="2" s="1"/>
  <c r="J208" i="4"/>
  <c r="J209" i="4" s="1"/>
  <c r="H375" i="4"/>
  <c r="J374" i="4"/>
  <c r="J375" i="4" s="1"/>
  <c r="H246" i="4"/>
  <c r="J21" i="2" s="1"/>
  <c r="K21" i="2" s="1"/>
  <c r="G246" i="4" s="1"/>
  <c r="J152" i="4"/>
  <c r="J157" i="4" s="1"/>
  <c r="J175" i="4"/>
  <c r="J367" i="4"/>
  <c r="J371" i="4" s="1"/>
  <c r="H171" i="4"/>
  <c r="H383" i="4"/>
  <c r="H18" i="4"/>
  <c r="H39" i="4"/>
  <c r="H89" i="4"/>
  <c r="H157" i="4"/>
  <c r="H199" i="4"/>
  <c r="H242" i="4"/>
  <c r="F26" i="5"/>
  <c r="H62" i="4"/>
  <c r="H205" i="4"/>
  <c r="H371" i="4"/>
  <c r="H148" i="4"/>
  <c r="H109" i="4"/>
  <c r="H4" i="3"/>
  <c r="H65" i="3" s="1"/>
  <c r="H67" i="3" s="1"/>
  <c r="E31" i="5"/>
  <c r="H342" i="4"/>
  <c r="J29" i="2"/>
  <c r="G387" i="4" s="1"/>
  <c r="E22" i="3"/>
  <c r="G22" i="3" s="1"/>
  <c r="F9" i="5"/>
  <c r="E9" i="5" s="1"/>
  <c r="F36" i="5"/>
  <c r="N9" i="6" s="1"/>
  <c r="E30" i="3"/>
  <c r="E45" i="3" s="1"/>
  <c r="E46" i="3" s="1"/>
  <c r="I38" i="5"/>
  <c r="J27" i="2"/>
  <c r="D7" i="6" s="1"/>
  <c r="K389" i="4"/>
  <c r="H16" i="3"/>
  <c r="H32" i="3" s="1"/>
  <c r="E41" i="3"/>
  <c r="H71" i="3"/>
  <c r="H73" i="3" s="1"/>
  <c r="N6" i="6"/>
  <c r="N8" i="6"/>
  <c r="E16" i="3"/>
  <c r="G16" i="3" s="1"/>
  <c r="E14" i="5"/>
  <c r="I298" i="4"/>
  <c r="I141" i="4"/>
  <c r="I239" i="4"/>
  <c r="J4" i="2" l="1"/>
  <c r="K4" i="2" s="1"/>
  <c r="G41" i="3"/>
  <c r="J6" i="2"/>
  <c r="K6" i="2" s="1"/>
  <c r="G61" i="3"/>
  <c r="J266" i="4"/>
  <c r="J199" i="4"/>
  <c r="J211" i="4" s="1"/>
  <c r="H9" i="5"/>
  <c r="H26" i="5"/>
  <c r="J109" i="4"/>
  <c r="J171" i="4"/>
  <c r="J239" i="4"/>
  <c r="J140" i="4"/>
  <c r="J298" i="4"/>
  <c r="H36" i="5"/>
  <c r="B241" i="4"/>
  <c r="B300" i="4"/>
  <c r="B142" i="4"/>
  <c r="J18" i="4"/>
  <c r="J39" i="4"/>
  <c r="E32" i="3"/>
  <c r="H389" i="4"/>
  <c r="F38" i="5"/>
  <c r="E65" i="3"/>
  <c r="E67" i="3" s="1"/>
  <c r="E75" i="3" s="1"/>
  <c r="H44" i="3"/>
  <c r="H46" i="3" s="1"/>
  <c r="H40" i="3"/>
  <c r="H41" i="3" s="1"/>
  <c r="H9" i="3"/>
  <c r="N5" i="6"/>
  <c r="E48" i="3"/>
  <c r="E55" i="3"/>
  <c r="K19" i="2"/>
  <c r="G209" i="4" s="1"/>
  <c r="J20" i="2"/>
  <c r="J18" i="2"/>
  <c r="K18" i="2" s="1"/>
  <c r="G205" i="4" s="1"/>
  <c r="J24" i="2"/>
  <c r="K24" i="2" s="1"/>
  <c r="G342" i="4" s="1"/>
  <c r="J22" i="2"/>
  <c r="K22" i="2" s="1"/>
  <c r="G266" i="4" s="1"/>
  <c r="J28" i="2"/>
  <c r="J26" i="2"/>
  <c r="K26" i="2" s="1"/>
  <c r="G371" i="4" s="1"/>
  <c r="J16" i="2"/>
  <c r="K16" i="2" s="1"/>
  <c r="G171" i="4" s="1"/>
  <c r="J13" i="2"/>
  <c r="E36" i="5"/>
  <c r="D61" i="3"/>
  <c r="K27" i="2"/>
  <c r="G375" i="4" s="1"/>
  <c r="N27" i="2"/>
  <c r="E51" i="3"/>
  <c r="E52" i="3"/>
  <c r="J9" i="2"/>
  <c r="K9" i="2" s="1"/>
  <c r="G39" i="4" s="1"/>
  <c r="J33" i="2"/>
  <c r="H75" i="3"/>
  <c r="J8" i="2"/>
  <c r="J25" i="2"/>
  <c r="K25" i="2" s="1"/>
  <c r="G363" i="4" s="1"/>
  <c r="E49" i="3"/>
  <c r="J15" i="2"/>
  <c r="K15" i="2" s="1"/>
  <c r="J17" i="2"/>
  <c r="K17" i="2" s="1"/>
  <c r="N7" i="6"/>
  <c r="E26" i="5"/>
  <c r="J12" i="2"/>
  <c r="K12" i="2" s="1"/>
  <c r="J2" i="2"/>
  <c r="D41" i="3"/>
  <c r="J14" i="2"/>
  <c r="J10" i="2"/>
  <c r="K10" i="2" s="1"/>
  <c r="I142" i="4"/>
  <c r="I241" i="4"/>
  <c r="I299" i="4"/>
  <c r="I240" i="4"/>
  <c r="J7" i="2" l="1"/>
  <c r="K7" i="2" s="1"/>
  <c r="D75" i="3" s="1"/>
  <c r="G75" i="3"/>
  <c r="E57" i="3"/>
  <c r="G57" i="3" s="1"/>
  <c r="G55" i="3"/>
  <c r="J3" i="2"/>
  <c r="K3" i="2" s="1"/>
  <c r="D32" i="3" s="1"/>
  <c r="G32" i="3"/>
  <c r="H38" i="5"/>
  <c r="J240" i="4"/>
  <c r="I242" i="4"/>
  <c r="J241" i="4"/>
  <c r="J141" i="4"/>
  <c r="J299" i="4"/>
  <c r="B301" i="4"/>
  <c r="B143" i="4"/>
  <c r="G389" i="4"/>
  <c r="K14" i="2"/>
  <c r="G148" i="4" s="1"/>
  <c r="D6" i="6"/>
  <c r="K8" i="2"/>
  <c r="G18" i="4" s="1"/>
  <c r="D5" i="6"/>
  <c r="K28" i="2"/>
  <c r="G383" i="4" s="1"/>
  <c r="D8" i="6"/>
  <c r="H77" i="3"/>
  <c r="N10" i="6"/>
  <c r="O10" i="6" s="1"/>
  <c r="E53" i="3"/>
  <c r="D53" i="3" s="1"/>
  <c r="K20" i="2"/>
  <c r="G242" i="4" s="1"/>
  <c r="K13" i="2"/>
  <c r="G109" i="4" s="1"/>
  <c r="N30" i="2"/>
  <c r="K33" i="2"/>
  <c r="E38" i="5" s="1"/>
  <c r="N10" i="2"/>
  <c r="K2" i="2"/>
  <c r="D9" i="3" s="1"/>
  <c r="N16" i="2"/>
  <c r="G89" i="4"/>
  <c r="J5" i="2"/>
  <c r="K5" i="2" s="1"/>
  <c r="G62" i="4"/>
  <c r="G199" i="4"/>
  <c r="G157" i="4"/>
  <c r="I300" i="4"/>
  <c r="I143" i="4"/>
  <c r="J242" i="4" l="1"/>
  <c r="J300" i="4"/>
  <c r="J142" i="4"/>
  <c r="B302" i="4"/>
  <c r="O8" i="6"/>
  <c r="O5" i="6"/>
  <c r="B144" i="4"/>
  <c r="O9" i="6"/>
  <c r="D4" i="6"/>
  <c r="O6" i="6"/>
  <c r="O7" i="6"/>
  <c r="N4" i="2"/>
  <c r="N31" i="2" s="1"/>
  <c r="N34" i="2" s="1"/>
  <c r="E77" i="3"/>
  <c r="J31" i="2"/>
  <c r="K31" i="2" s="1"/>
  <c r="I301" i="4"/>
  <c r="I144" i="4"/>
  <c r="D77" i="3" l="1"/>
  <c r="G77" i="3"/>
  <c r="J301" i="4"/>
  <c r="J143" i="4"/>
  <c r="B145" i="4"/>
  <c r="B303" i="4"/>
  <c r="O33" i="2"/>
  <c r="O27" i="2"/>
  <c r="O10" i="2"/>
  <c r="O30" i="2"/>
  <c r="O16" i="2"/>
  <c r="O4" i="2"/>
  <c r="D57" i="3"/>
  <c r="J34" i="2"/>
  <c r="K34" i="2" s="1"/>
  <c r="I145" i="4"/>
  <c r="I302" i="4"/>
  <c r="J302" i="4" l="1"/>
  <c r="J144" i="4"/>
  <c r="B146" i="4"/>
  <c r="B304" i="4"/>
  <c r="O34" i="2"/>
  <c r="J37" i="2"/>
  <c r="K37" i="2" s="1"/>
  <c r="D9" i="6"/>
  <c r="I146" i="4"/>
  <c r="I303" i="4"/>
  <c r="J303" i="4" l="1"/>
  <c r="J145" i="4"/>
  <c r="B147" i="4"/>
  <c r="B305" i="4"/>
  <c r="E7" i="6"/>
  <c r="E8" i="6"/>
  <c r="E6" i="6"/>
  <c r="E5" i="6"/>
  <c r="E4" i="6"/>
  <c r="I147" i="4"/>
  <c r="I304" i="4"/>
  <c r="J304" i="4" l="1"/>
  <c r="I148" i="4"/>
  <c r="J147" i="4"/>
  <c r="J146" i="4"/>
  <c r="B306" i="4"/>
  <c r="E9" i="6"/>
  <c r="I305" i="4"/>
  <c r="J305" i="4" l="1"/>
  <c r="B307" i="4"/>
  <c r="J148" i="4"/>
  <c r="I306" i="4"/>
  <c r="J306" i="4" l="1"/>
  <c r="B308" i="4"/>
  <c r="I307" i="4"/>
  <c r="J307" i="4" l="1"/>
  <c r="B309" i="4"/>
  <c r="I308" i="4"/>
  <c r="J308" i="4" l="1"/>
  <c r="B310" i="4"/>
  <c r="I309" i="4"/>
  <c r="J309" i="4" l="1"/>
  <c r="B311" i="4"/>
  <c r="I310" i="4"/>
  <c r="J310" i="4" l="1"/>
  <c r="B312" i="4"/>
  <c r="I311" i="4"/>
  <c r="J311" i="4" l="1"/>
  <c r="B313" i="4"/>
  <c r="I312" i="4"/>
  <c r="J312" i="4" l="1"/>
  <c r="B314" i="4"/>
  <c r="I313" i="4"/>
  <c r="J313" i="4" l="1"/>
  <c r="B315" i="4"/>
  <c r="I314" i="4"/>
  <c r="J314" i="4" l="1"/>
  <c r="B316" i="4"/>
  <c r="I315" i="4"/>
  <c r="J315" i="4" l="1"/>
  <c r="B317" i="4"/>
  <c r="I316" i="4"/>
  <c r="J316" i="4" l="1"/>
  <c r="B318" i="4"/>
  <c r="I317" i="4"/>
  <c r="J317" i="4" l="1"/>
  <c r="B319" i="4"/>
  <c r="I318" i="4"/>
  <c r="J318" i="4" l="1"/>
  <c r="B320" i="4"/>
  <c r="I319" i="4"/>
  <c r="J319" i="4" l="1"/>
  <c r="B321" i="4"/>
  <c r="I320" i="4"/>
  <c r="J320" i="4" l="1"/>
  <c r="B322" i="4"/>
  <c r="I321" i="4"/>
  <c r="J321" i="4" l="1"/>
  <c r="B323" i="4"/>
  <c r="I322" i="4"/>
  <c r="J322" i="4" l="1"/>
  <c r="B324" i="4"/>
  <c r="I323" i="4"/>
  <c r="J323" i="4" l="1"/>
  <c r="B325" i="4"/>
  <c r="I324" i="4"/>
  <c r="J324" i="4" l="1"/>
  <c r="B326" i="4"/>
  <c r="I325" i="4"/>
  <c r="J325" i="4" l="1"/>
  <c r="B327" i="4"/>
  <c r="I326" i="4"/>
  <c r="J326" i="4" l="1"/>
  <c r="B328" i="4"/>
  <c r="I327" i="4"/>
  <c r="J327" i="4" l="1"/>
  <c r="B329" i="4"/>
  <c r="I328" i="4"/>
  <c r="J328" i="4" l="1"/>
  <c r="B330" i="4"/>
  <c r="I329" i="4"/>
  <c r="J329" i="4" l="1"/>
  <c r="B331" i="4"/>
  <c r="I330" i="4"/>
  <c r="J330" i="4" l="1"/>
  <c r="B332" i="4"/>
  <c r="I331" i="4"/>
  <c r="J331" i="4" l="1"/>
  <c r="B333" i="4"/>
  <c r="I332" i="4"/>
  <c r="J332" i="4" l="1"/>
  <c r="B334" i="4"/>
  <c r="I333" i="4"/>
  <c r="J333" i="4" l="1"/>
  <c r="B335" i="4"/>
  <c r="I334" i="4"/>
  <c r="J334" i="4" l="1"/>
  <c r="B336" i="4"/>
  <c r="I335" i="4"/>
  <c r="J335" i="4" l="1"/>
  <c r="B337" i="4"/>
  <c r="I336" i="4"/>
  <c r="J336" i="4" l="1"/>
  <c r="B338" i="4"/>
  <c r="I337" i="4"/>
  <c r="J337" i="4" l="1"/>
  <c r="B339" i="4"/>
  <c r="I338" i="4"/>
  <c r="J338" i="4" l="1"/>
  <c r="B340" i="4"/>
  <c r="I339" i="4"/>
  <c r="J339" i="4" l="1"/>
  <c r="B341" i="4"/>
  <c r="I341" i="4"/>
  <c r="I340" i="4"/>
  <c r="J340" i="4" l="1"/>
  <c r="I342" i="4"/>
  <c r="I389" i="4" s="1"/>
  <c r="J341" i="4"/>
  <c r="J342" i="4" l="1"/>
  <c r="J38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Kimberly Gamboa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Kimberly Gamboa:</t>
        </r>
        <r>
          <rPr>
            <sz val="9"/>
            <color indexed="81"/>
            <rFont val="Tahoma"/>
            <family val="2"/>
          </rPr>
          <t xml:space="preserve">
we actually di 50% - 5.15.18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8" authorId="0" shapeId="0" xr:uid="{00000000-0006-0000-0300-00001E000000}">
      <text>
        <r>
          <rPr>
            <sz val="11"/>
            <color rgb="FF000000"/>
            <rFont val="Calibri"/>
            <family val="2"/>
          </rPr>
          <t>Cost Increase from 2018 (In state)
	-Billy White</t>
        </r>
      </text>
    </comment>
    <comment ref="H123" authorId="0" shapeId="0" xr:uid="{00000000-0006-0000-0300-000022000000}">
      <text>
        <r>
          <rPr>
            <sz val="11"/>
            <color rgb="FF000000"/>
            <rFont val="Calibri"/>
            <family val="2"/>
          </rPr>
          <t>Registration fee = $210 / each
Designation fee = $160 / each
Designation pending = $80 / each
Application fee = $50 / each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5" authorId="0" shapeId="0" xr:uid="{00000000-0006-0000-0400-000005000000}">
      <text>
        <r>
          <rPr>
            <sz val="11"/>
            <color rgb="FF000000"/>
            <rFont val="Calibri"/>
            <family val="2"/>
          </rPr>
          <t>2019 is legislative year and the books will not be updated until 2020.
	-Anonymous</t>
        </r>
      </text>
    </comment>
  </commentList>
</comments>
</file>

<file path=xl/sharedStrings.xml><?xml version="1.0" encoding="utf-8"?>
<sst xmlns="http://schemas.openxmlformats.org/spreadsheetml/2006/main" count="8660" uniqueCount="3272">
  <si>
    <t>Account Name</t>
  </si>
  <si>
    <t>Category/Comments</t>
  </si>
  <si>
    <t>2014 Budget</t>
  </si>
  <si>
    <t>2014 Actual</t>
  </si>
  <si>
    <t>2015 Budget</t>
  </si>
  <si>
    <t>2015 Actual</t>
  </si>
  <si>
    <t>2016 Budget</t>
  </si>
  <si>
    <t>2016 Actual</t>
  </si>
  <si>
    <t>2017 Budget</t>
  </si>
  <si>
    <t>2018 Approved Budget</t>
  </si>
  <si>
    <t>% Change</t>
  </si>
  <si>
    <t>Category Totals</t>
  </si>
  <si>
    <t>6010 - Salaries</t>
  </si>
  <si>
    <t>Description</t>
  </si>
  <si>
    <t>Actual Cost</t>
  </si>
  <si>
    <t>Difference</t>
  </si>
  <si>
    <t>6020 - Allowances</t>
  </si>
  <si>
    <t>6030 - Group Health</t>
  </si>
  <si>
    <t>Personnel</t>
  </si>
  <si>
    <t>6040 - Retirement</t>
  </si>
  <si>
    <t>6060 - Worker's Comp Insurance</t>
  </si>
  <si>
    <t>6070 - Social Security / Disability</t>
  </si>
  <si>
    <t>6110 - Office Supplies</t>
  </si>
  <si>
    <t>6120 - Postage</t>
  </si>
  <si>
    <t xml:space="preserve">2018 Salaries </t>
  </si>
  <si>
    <t>6130 - Forms/Printing</t>
  </si>
  <si>
    <t>6140 - Janitorial Supplies</t>
  </si>
  <si>
    <t>Materials &amp; Services</t>
  </si>
  <si>
    <t>6150 - Minor Equipment/Furniture</t>
  </si>
  <si>
    <t>6160 - Computer Supplies</t>
  </si>
  <si>
    <t>COLA and/or Merit 3%</t>
  </si>
  <si>
    <t>6215 - Equipment Lease/Rental</t>
  </si>
  <si>
    <t>6210 - Schools/Conferences Membership (Prof Dev)</t>
  </si>
  <si>
    <t>6220 - Utilities</t>
  </si>
  <si>
    <t>6225 - Building Repair &amp; Maint.</t>
  </si>
  <si>
    <t>6235 - TLO Expenses</t>
  </si>
  <si>
    <t>6236 - BOD Expenses</t>
  </si>
  <si>
    <t>6240 - Publications</t>
  </si>
  <si>
    <t>6250 - Contingency Emergency</t>
  </si>
  <si>
    <t>6260 - Consulting/Professional Services</t>
  </si>
  <si>
    <t>Services</t>
  </si>
  <si>
    <t>6280 - Maintenance Contracts</t>
  </si>
  <si>
    <t xml:space="preserve">Overtime    </t>
  </si>
  <si>
    <t xml:space="preserve">6285 - Computer Services/Licenses </t>
  </si>
  <si>
    <t xml:space="preserve">Longevity </t>
  </si>
  <si>
    <t>6290 - Business Insurance</t>
  </si>
  <si>
    <t>6810 - Debt Service - Building</t>
  </si>
  <si>
    <t>Security Officer</t>
  </si>
  <si>
    <t>8010 - Capital Outlay</t>
  </si>
  <si>
    <t>Percentage is from recap sheet</t>
  </si>
  <si>
    <t>8020 - Furniture &amp; Fixtures</t>
  </si>
  <si>
    <t>6270 - GIS Services</t>
  </si>
  <si>
    <t>8030 - Fund Depreciation</t>
  </si>
  <si>
    <t>Debt</t>
  </si>
  <si>
    <t>TOTALS</t>
  </si>
  <si>
    <t>Capital Outlay</t>
  </si>
  <si>
    <t>Appraisal Review Board Budget</t>
  </si>
  <si>
    <t>TOTAL WCAD and ARB BUDGET</t>
  </si>
  <si>
    <t>Car Allowance</t>
  </si>
  <si>
    <t>One Time Reserve Expense</t>
  </si>
  <si>
    <t>Board budget buy down from assigned fund balance</t>
  </si>
  <si>
    <t>TOTAL WCAD ALLOCATION BUDGET</t>
  </si>
  <si>
    <t>Appraisal  Est Qty</t>
  </si>
  <si>
    <t>Operations Est Qty</t>
  </si>
  <si>
    <t>Admin Est Qty.</t>
  </si>
  <si>
    <t>Estimated cost/unit</t>
  </si>
  <si>
    <t>2018 Approved Budgeted</t>
  </si>
  <si>
    <t>6110-Office Supplies</t>
  </si>
  <si>
    <r>
      <rPr>
        <sz val="11"/>
        <color rgb="FF000000"/>
        <rFont val="Calibri"/>
        <family val="2"/>
      </rPr>
      <t>1099's</t>
    </r>
    <r>
      <rPr>
        <sz val="11"/>
        <color rgb="FF000000"/>
        <rFont val="Calibri"/>
        <family val="2"/>
      </rPr>
      <t xml:space="preserve"> </t>
    </r>
  </si>
  <si>
    <t>Chief Appraiser Car Allowance = $600 x 12 months</t>
  </si>
  <si>
    <t>Category</t>
  </si>
  <si>
    <t>Sub-Total</t>
  </si>
  <si>
    <t>6310-ARB - Contract Labor</t>
  </si>
  <si>
    <t>Attending 5 training days</t>
  </si>
  <si>
    <t>3 Alternate members would need to attend training mtgs approximately 5</t>
  </si>
  <si>
    <t>Cellular Allowances</t>
  </si>
  <si>
    <t>Chief Appraiser - $110</t>
  </si>
  <si>
    <t>Deputy Chief/AA/Directors = $90 x 4 ee</t>
  </si>
  <si>
    <t>1st year - 70 meetings--4 members pay in  1st year</t>
  </si>
  <si>
    <t>Managers/IT = $70 x 11 ee</t>
  </si>
  <si>
    <t>Designation Achievement Pay</t>
  </si>
  <si>
    <t>Assessment Administration Specialist (AAS)</t>
  </si>
  <si>
    <t>2nd year -  70 meetings--6 members pay in 2nd year</t>
  </si>
  <si>
    <t>Cadastral Mapping Specialist (CMS)</t>
  </si>
  <si>
    <t>3rd &amp; 4th year - 70 meetings--1 members pay in 3rd and 4th year</t>
  </si>
  <si>
    <t>Personal Property Specialist (PPS) + RPA</t>
  </si>
  <si>
    <t>Residential Evaluation Specialist (RES) + RPA</t>
  </si>
  <si>
    <t>Certified Assessment Evaluator (CAE) + RPA</t>
  </si>
  <si>
    <t>ARB Chairperson $30.00 a day--1 member</t>
  </si>
  <si>
    <t>6030 - Group Insurances</t>
  </si>
  <si>
    <t>Reorder in 2022</t>
  </si>
  <si>
    <r>
      <t>AED batteries</t>
    </r>
    <r>
      <rPr>
        <sz val="8"/>
        <rFont val="Calibri"/>
        <family val="2"/>
      </rPr>
      <t xml:space="preserve"> (every 4 years)</t>
    </r>
  </si>
  <si>
    <t>6320-ARB - Supplies</t>
  </si>
  <si>
    <t>Misc Supplies--Pens, Pencils, Writing Tablets, Name plates, kleenex</t>
  </si>
  <si>
    <t>Reorder in 2019</t>
  </si>
  <si>
    <r>
      <t xml:space="preserve">AED pads </t>
    </r>
    <r>
      <rPr>
        <sz val="8"/>
        <rFont val="Calibri"/>
        <family val="2"/>
      </rPr>
      <t>(every 2 years)</t>
    </r>
  </si>
  <si>
    <t>renewal in Sept 2018 (n/c)</t>
  </si>
  <si>
    <t>Paper towels (a case)</t>
  </si>
  <si>
    <t>renewal in Sept 2018 (+10%)</t>
  </si>
  <si>
    <t xml:space="preserve">Clasp Envelopes </t>
  </si>
  <si>
    <t>ARB Notice of Hearing Letters Postage</t>
  </si>
  <si>
    <t>Company Shirts</t>
  </si>
  <si>
    <r>
      <t xml:space="preserve">Envelopes - </t>
    </r>
    <r>
      <rPr>
        <sz val="8"/>
        <rFont val="Calibri"/>
        <family val="2"/>
      </rPr>
      <t>special (6x9.5) for NoH ltrs (1,000/bx) plus shipping $130.00)</t>
    </r>
  </si>
  <si>
    <r>
      <t xml:space="preserve">Copier paper </t>
    </r>
    <r>
      <rPr>
        <strike/>
        <sz val="11"/>
        <rFont val="Calibri"/>
        <family val="2"/>
      </rPr>
      <t xml:space="preserve">8.5x11 </t>
    </r>
    <r>
      <rPr>
        <sz val="11"/>
        <color rgb="FF000000"/>
        <rFont val="Calibri"/>
        <family val="2"/>
      </rPr>
      <t>various sizes</t>
    </r>
  </si>
  <si>
    <t>Copier paper 8.5x14</t>
  </si>
  <si>
    <t>Certified Letters</t>
  </si>
  <si>
    <t>Misc Correspondence Letters</t>
  </si>
  <si>
    <t xml:space="preserve">Envelopes - regular, window </t>
  </si>
  <si>
    <t>ARB Ad</t>
  </si>
  <si>
    <t>Comptroller Taxpayer Rights &amp; Remedies &amp; Insert for Notice of Hearing ltrs</t>
  </si>
  <si>
    <r>
      <t xml:space="preserve">2019 Texas Property Tax Code Books </t>
    </r>
    <r>
      <rPr>
        <sz val="8"/>
        <rFont val="Calibri"/>
        <family val="2"/>
      </rPr>
      <t>(2019 Legislative year)</t>
    </r>
  </si>
  <si>
    <t xml:space="preserve">Copier paper 11x17 </t>
  </si>
  <si>
    <t>6340-ARB - Training/Seminars</t>
  </si>
  <si>
    <t>Comptroller ARB Comprehensive Seminar (13 members +3 alt)</t>
  </si>
  <si>
    <t>Comptroller ARB Advanced Seminar (13 members + 3 alt)</t>
  </si>
  <si>
    <t>Allowance</t>
  </si>
  <si>
    <t>2018 - rate 0.18%</t>
  </si>
  <si>
    <r>
      <t xml:space="preserve">Flags </t>
    </r>
    <r>
      <rPr>
        <sz val="8"/>
        <color rgb="FF000000"/>
        <rFont val="Calibri"/>
        <family val="2"/>
      </rPr>
      <t>(US &amp; Texas)</t>
    </r>
  </si>
  <si>
    <t>6350-ARB - Litigation</t>
  </si>
  <si>
    <t xml:space="preserve">Litigation </t>
  </si>
  <si>
    <t>*included in misc office supplies</t>
  </si>
  <si>
    <t>moved from 6340</t>
  </si>
  <si>
    <t>Label Writer Labels</t>
  </si>
  <si>
    <t>ARB Attorney Workshop</t>
  </si>
  <si>
    <t>TOTAL</t>
  </si>
  <si>
    <t>Measuring Tapes Metal</t>
  </si>
  <si>
    <t xml:space="preserve">Misc Office Supplies </t>
  </si>
  <si>
    <t>Postage Meter Ink Cartridges</t>
  </si>
  <si>
    <t>Postage Meter Tapes</t>
  </si>
  <si>
    <t>*every 3 yrs ~ last ordered 2018</t>
  </si>
  <si>
    <t>Security Badges</t>
  </si>
  <si>
    <t>6120-Postage</t>
  </si>
  <si>
    <t>Elected higher rate</t>
  </si>
  <si>
    <t xml:space="preserve">Appraisal Notices </t>
  </si>
  <si>
    <t>Arbitration Correspondence</t>
  </si>
  <si>
    <t>6060 - Workers' Compensation</t>
  </si>
  <si>
    <t>Annual Contribution</t>
  </si>
  <si>
    <r>
      <t>Business Reply Usage</t>
    </r>
    <r>
      <rPr>
        <sz val="9"/>
        <rFont val="Calibri"/>
        <family val="2"/>
      </rPr>
      <t xml:space="preserve"> </t>
    </r>
    <r>
      <rPr>
        <sz val="8"/>
        <rFont val="Calibri"/>
        <family val="2"/>
      </rPr>
      <t>(surveys, questionnaires, etc.)</t>
    </r>
  </si>
  <si>
    <t>6070 - FICA / Medicare</t>
  </si>
  <si>
    <t xml:space="preserve">Medicare </t>
  </si>
  <si>
    <t>Qualifying Salaries: (Includes Car Allowance)</t>
  </si>
  <si>
    <r>
      <t xml:space="preserve">Certified Letters </t>
    </r>
    <r>
      <rPr>
        <sz val="8"/>
        <rFont val="Calibri"/>
        <family val="2"/>
      </rPr>
      <t>(Return Receipt Requested - RRR)</t>
    </r>
  </si>
  <si>
    <r>
      <t xml:space="preserve">Exemption applications  </t>
    </r>
    <r>
      <rPr>
        <sz val="8"/>
        <rFont val="Calibri"/>
        <family val="2"/>
      </rPr>
      <t>(all exemption applications)</t>
    </r>
  </si>
  <si>
    <t>X Medicare Rate</t>
  </si>
  <si>
    <t>Sub-total</t>
  </si>
  <si>
    <t>Social Security</t>
  </si>
  <si>
    <r>
      <t xml:space="preserve">HS Mass Mailouts </t>
    </r>
    <r>
      <rPr>
        <sz val="8"/>
        <rFont val="Calibri"/>
        <family val="2"/>
      </rPr>
      <t>(Postcards)</t>
    </r>
  </si>
  <si>
    <t>X Rate</t>
  </si>
  <si>
    <t xml:space="preserve">Misc. Flats </t>
  </si>
  <si>
    <t>Parcel Shipping - Fed EX / UPS</t>
  </si>
  <si>
    <t>Permit Fees - Annual &amp; Business Reply</t>
  </si>
  <si>
    <t>Postage due Acct - Forwarding Orders</t>
  </si>
  <si>
    <t xml:space="preserve">Renditions </t>
  </si>
  <si>
    <t>Renditions Postcard Reminder of Online Rendition</t>
  </si>
  <si>
    <t xml:space="preserve">Sales Questionnaires </t>
  </si>
  <si>
    <t xml:space="preserve">Survey Forms </t>
  </si>
  <si>
    <t xml:space="preserve">Vendor Payments </t>
  </si>
  <si>
    <t>6130-Forms &amp; Printing</t>
  </si>
  <si>
    <t>NAV &amp; Protest Form</t>
  </si>
  <si>
    <r>
      <t>25.19 Notice 'Packet'</t>
    </r>
    <r>
      <rPr>
        <sz val="8"/>
        <color rgb="FF000000"/>
        <rFont val="Calibri"/>
        <family val="2"/>
      </rPr>
      <t xml:space="preserve"> (Front and Back of NAV &amp; Protest Form)</t>
    </r>
  </si>
  <si>
    <t>HS 3630 Requirement</t>
  </si>
  <si>
    <r>
      <t>25.19 Notice 'Packet'</t>
    </r>
    <r>
      <rPr>
        <sz val="8"/>
        <color rgb="FF000000"/>
        <rFont val="Calibri"/>
        <family val="2"/>
      </rPr>
      <t xml:space="preserve"> (Same as above - With HS Insert)</t>
    </r>
  </si>
  <si>
    <r>
      <t>25.19 Notice 'Packet'</t>
    </r>
    <r>
      <rPr>
        <sz val="8"/>
        <color rgb="FF000000"/>
        <rFont val="Calibri"/>
        <family val="2"/>
      </rPr>
      <t xml:space="preserve"> (QC Sample freight)</t>
    </r>
  </si>
  <si>
    <t>Budget Amount</t>
  </si>
  <si>
    <t>Percent</t>
  </si>
  <si>
    <t>ARB Budget</t>
  </si>
  <si>
    <t xml:space="preserve">25.19 No 10 window envelopes </t>
  </si>
  <si>
    <t>Include in every NAV</t>
  </si>
  <si>
    <t xml:space="preserve">25.19 Notice R&amp;R's insert </t>
  </si>
  <si>
    <t>25.19 Notice HB3630 insert</t>
  </si>
  <si>
    <t xml:space="preserve">25.19 Folding &amp; Inserting </t>
  </si>
  <si>
    <t>25.19 CASS &amp; PAVE Certification</t>
  </si>
  <si>
    <t>25.19 Notice - Printing Svc/Misc Flats</t>
  </si>
  <si>
    <t>25.19 USB drives/hard drives</t>
  </si>
  <si>
    <t>*ARB Budget</t>
  </si>
  <si>
    <r>
      <t xml:space="preserve">Envelopes - 6x9.5 </t>
    </r>
    <r>
      <rPr>
        <sz val="8"/>
        <color rgb="FF000000"/>
        <rFont val="Calibri"/>
        <family val="2"/>
      </rPr>
      <t>(Notice of Hearing)</t>
    </r>
  </si>
  <si>
    <t xml:space="preserve">Envelopes - pre-paid </t>
  </si>
  <si>
    <t>*add back in 2020 ~ rcvd large qty for discount</t>
  </si>
  <si>
    <r>
      <t xml:space="preserve">Envelopes - special </t>
    </r>
    <r>
      <rPr>
        <sz val="8"/>
        <rFont val="Calibri"/>
        <family val="2"/>
      </rPr>
      <t>(security env)</t>
    </r>
  </si>
  <si>
    <r>
      <t>HS Application Mailout -</t>
    </r>
    <r>
      <rPr>
        <sz val="8"/>
        <rFont val="Calibri"/>
        <family val="2"/>
      </rPr>
      <t xml:space="preserve"> mailing out postcards </t>
    </r>
  </si>
  <si>
    <t>Renditions - Printing Service</t>
  </si>
  <si>
    <t>Rendition Postcard reminder</t>
  </si>
  <si>
    <t>Type</t>
  </si>
  <si>
    <r>
      <t>Survey Cards</t>
    </r>
    <r>
      <rPr>
        <sz val="8"/>
        <color rgb="FF000000"/>
        <rFont val="Calibri"/>
        <family val="2"/>
      </rPr>
      <t xml:space="preserve"> (PS/Appraisal) </t>
    </r>
  </si>
  <si>
    <t>Date</t>
  </si>
  <si>
    <t>Num</t>
  </si>
  <si>
    <t>Name</t>
  </si>
  <si>
    <t>Memo</t>
  </si>
  <si>
    <t>Misc</t>
  </si>
  <si>
    <t>Amount</t>
  </si>
  <si>
    <t>6140-Janitorial Supplies</t>
  </si>
  <si>
    <t>Cleaning Supplies, Paper Products &amp; Miscellaneous Supplies</t>
  </si>
  <si>
    <t>6150-Minor Equipment &amp; Furniture (under $5,000)</t>
  </si>
  <si>
    <t>23" Height Adjustable Monitors</t>
  </si>
  <si>
    <t>27" Height Adjustable Monitors</t>
  </si>
  <si>
    <t>Legislation HB 455</t>
  </si>
  <si>
    <t>Conference Phones for ARB Rooms</t>
  </si>
  <si>
    <r>
      <t xml:space="preserve">Desktop Scanner </t>
    </r>
    <r>
      <rPr>
        <sz val="8"/>
        <rFont val="Calibri"/>
        <family val="2"/>
      </rPr>
      <t>(replacement)</t>
    </r>
  </si>
  <si>
    <r>
      <t xml:space="preserve">Electronic devices for field use </t>
    </r>
    <r>
      <rPr>
        <sz val="8"/>
        <color rgb="FF000000"/>
        <rFont val="Calibri"/>
        <family val="2"/>
      </rPr>
      <t>(tablets or other field devices)</t>
    </r>
  </si>
  <si>
    <t>HP Desktop Printers</t>
  </si>
  <si>
    <t>Supplies</t>
  </si>
  <si>
    <t>Laptop computers &amp; accessories</t>
  </si>
  <si>
    <t>Misc Equipment &amp; Furniture</t>
  </si>
  <si>
    <t>Network Hardware</t>
  </si>
  <si>
    <t>Projectors for Training Room</t>
  </si>
  <si>
    <t>Replace old mgmt desks</t>
  </si>
  <si>
    <t>Replace mgmt old office furniture</t>
  </si>
  <si>
    <t>Signature pads</t>
  </si>
  <si>
    <t>Standing Desks</t>
  </si>
  <si>
    <t>Touch Screens 22" or Larger</t>
  </si>
  <si>
    <t xml:space="preserve"> </t>
  </si>
  <si>
    <r>
      <t xml:space="preserve">TV displays for Projector Replacement </t>
    </r>
    <r>
      <rPr>
        <sz val="8"/>
        <rFont val="Calibri"/>
        <family val="2"/>
      </rPr>
      <t>(ARB/Mgr)</t>
    </r>
  </si>
  <si>
    <t xml:space="preserve">UPS Battery </t>
  </si>
  <si>
    <t>Video Card for flat panel monitors</t>
  </si>
  <si>
    <t>Workstation Chairs</t>
  </si>
  <si>
    <t>6160-Computer Supplies</t>
  </si>
  <si>
    <r>
      <t>Bulb for ARB projectors</t>
    </r>
    <r>
      <rPr>
        <sz val="8"/>
        <rFont val="Calibri"/>
        <family val="2"/>
      </rPr>
      <t xml:space="preserve"> (replacement) </t>
    </r>
  </si>
  <si>
    <r>
      <t>External 16TB drives</t>
    </r>
    <r>
      <rPr>
        <sz val="8"/>
        <rFont val="Calibri"/>
        <family val="2"/>
      </rPr>
      <t xml:space="preserve"> (offsite data)</t>
    </r>
  </si>
  <si>
    <t>Color Plotter (HPT1100)  M&amp;R Ink Cartridges (Bl. 5; Cl. 5)</t>
  </si>
  <si>
    <r>
      <t xml:space="preserve">Color Print Heads </t>
    </r>
    <r>
      <rPr>
        <sz val="8"/>
        <color rgb="FF000000"/>
        <rFont val="Calibri"/>
        <family val="2"/>
      </rPr>
      <t>(HPT1100)</t>
    </r>
    <r>
      <rPr>
        <sz val="11"/>
        <color rgb="FF000000"/>
        <rFont val="Calibri"/>
        <family val="2"/>
      </rPr>
      <t xml:space="preserve"> </t>
    </r>
  </si>
  <si>
    <t>Desktop Scanner Maintenance Kit</t>
  </si>
  <si>
    <t>Field Device Accessories</t>
  </si>
  <si>
    <r>
      <t xml:space="preserve">iPad cables </t>
    </r>
    <r>
      <rPr>
        <sz val="8"/>
        <color rgb="FF000000"/>
        <rFont val="Calibri"/>
        <family val="2"/>
      </rPr>
      <t>(replacements)</t>
    </r>
  </si>
  <si>
    <t>Large format scanner maintenance kit</t>
  </si>
  <si>
    <t>Misc supplies</t>
  </si>
  <si>
    <t>Replacement drives desktops &lt; 1TB</t>
  </si>
  <si>
    <t xml:space="preserve">Screen protectors </t>
  </si>
  <si>
    <t>Solid state drives 120GB</t>
  </si>
  <si>
    <t>Spare Drives</t>
  </si>
  <si>
    <t>Spare EqualLogic Drives</t>
  </si>
  <si>
    <t>Thumb drives</t>
  </si>
  <si>
    <r>
      <t>Toner cartridges</t>
    </r>
    <r>
      <rPr>
        <sz val="8"/>
        <rFont val="Calibri"/>
        <family val="2"/>
      </rPr>
      <t xml:space="preserve"> (Includes all types for all departments)</t>
    </r>
  </si>
  <si>
    <t>new</t>
  </si>
  <si>
    <t>Internal Hard Drives (storage)</t>
  </si>
  <si>
    <t>6210-Schools &amp; Conferences Memberships (Prof Dev)</t>
  </si>
  <si>
    <r>
      <t xml:space="preserve">Community Outreach </t>
    </r>
    <r>
      <rPr>
        <sz val="8"/>
        <rFont val="Calibri"/>
        <family val="2"/>
      </rPr>
      <t>(GIS Day)</t>
    </r>
  </si>
  <si>
    <t>Customer &amp; Employee Survey Subscription</t>
  </si>
  <si>
    <t>Employee &amp; Board Recognition</t>
  </si>
  <si>
    <t>Increase cost/person</t>
  </si>
  <si>
    <r>
      <t xml:space="preserve">ESRI User Conf </t>
    </r>
    <r>
      <rPr>
        <sz val="8"/>
        <color rgb="FF000000"/>
        <rFont val="Calibri"/>
        <family val="2"/>
      </rPr>
      <t>- San Diego, CA</t>
    </r>
  </si>
  <si>
    <t>Field Safety Training for Appraisers</t>
  </si>
  <si>
    <r>
      <t>GIS &amp; CAMA Conference</t>
    </r>
    <r>
      <rPr>
        <sz val="8"/>
        <rFont val="Calibri"/>
        <family val="2"/>
      </rPr>
      <t xml:space="preserve"> - Portland, OR (2/25-28)</t>
    </r>
  </si>
  <si>
    <t>HR Classes / Training</t>
  </si>
  <si>
    <r>
      <t>HR Seminars</t>
    </r>
    <r>
      <rPr>
        <sz val="8"/>
        <color rgb="FF000000"/>
        <rFont val="Calibri"/>
        <family val="2"/>
      </rPr>
      <t xml:space="preserve"> (Harassment &amp; Staff Motivational)</t>
    </r>
  </si>
  <si>
    <t xml:space="preserve">IAAO Legal Seminar </t>
  </si>
  <si>
    <t xml:space="preserve">IAAO Seminars/Course + lodging, meals, misc. </t>
  </si>
  <si>
    <t>IAAO-CAE / AAS Demonstration Appraisal Report / Case Study /Grading Fees</t>
  </si>
  <si>
    <t xml:space="preserve">InHouse Software Training </t>
  </si>
  <si>
    <t xml:space="preserve">IREM Seminar  </t>
  </si>
  <si>
    <t>IT Courses/Certifications</t>
  </si>
  <si>
    <t>Misc CA Business Expenses</t>
  </si>
  <si>
    <t>Misc Seminars &amp; Conference</t>
  </si>
  <si>
    <t xml:space="preserve">Notary Fees </t>
  </si>
  <si>
    <t>Property Tax Institute</t>
  </si>
  <si>
    <t>lowered no lodging required</t>
  </si>
  <si>
    <r>
      <t>TAAD Conference </t>
    </r>
    <r>
      <rPr>
        <sz val="8"/>
        <rFont val="Calibri"/>
        <family val="2"/>
      </rPr>
      <t>- Austin, TX (2/24-27)</t>
    </r>
  </si>
  <si>
    <t>Legislative year</t>
  </si>
  <si>
    <t xml:space="preserve">TAAD Legislative Seminar </t>
  </si>
  <si>
    <t>TAAD Membership</t>
  </si>
  <si>
    <t xml:space="preserve">TAAD Specialty Courses </t>
  </si>
  <si>
    <r>
      <t xml:space="preserve">TAAD - TDLR/Comptroller - courses/seminars </t>
    </r>
    <r>
      <rPr>
        <sz val="8"/>
        <color rgb="FF000000"/>
        <rFont val="Calibri"/>
        <family val="2"/>
      </rPr>
      <t>(travel, lodging, meals, misc.)</t>
    </r>
  </si>
  <si>
    <r>
      <t xml:space="preserve">TAAO Conference </t>
    </r>
    <r>
      <rPr>
        <sz val="8"/>
        <rFont val="Calibri"/>
        <family val="2"/>
      </rPr>
      <t>- San Antonio (8/25-28)</t>
    </r>
  </si>
  <si>
    <t xml:space="preserve">TAAO Membership/Chapter fees </t>
  </si>
  <si>
    <t xml:space="preserve">TAMU Legal Seminar - San Antonio </t>
  </si>
  <si>
    <t>TCDRS Admin Seminar &amp; Perspectives Conference</t>
  </si>
  <si>
    <r>
      <t xml:space="preserve">Tyler Connect </t>
    </r>
    <r>
      <rPr>
        <sz val="8"/>
        <rFont val="Calibri"/>
        <family val="2"/>
      </rPr>
      <t>- Dallas, TX (4/7-10)</t>
    </r>
  </si>
  <si>
    <t>Cisco Training/certifications</t>
  </si>
  <si>
    <t>Williamson County Growth Summit</t>
  </si>
  <si>
    <t xml:space="preserve">                                 Sub-Total</t>
  </si>
  <si>
    <t>6215-Equipment Lease/Rental</t>
  </si>
  <si>
    <t xml:space="preserve">Postage Machine; Meter Lease </t>
  </si>
  <si>
    <t>Property Tax on Copiers/Printers/Mail Machine</t>
  </si>
  <si>
    <t xml:space="preserve">Scanner - fi-4340C color duplex </t>
  </si>
  <si>
    <t>6220-Utilities</t>
  </si>
  <si>
    <t>Contract Labor</t>
  </si>
  <si>
    <r>
      <t xml:space="preserve">AT&amp;T - Field Device Data Plans </t>
    </r>
    <r>
      <rPr>
        <sz val="8"/>
        <rFont val="Calibri"/>
        <family val="2"/>
      </rPr>
      <t>(9 months)</t>
    </r>
  </si>
  <si>
    <t>Rate increase</t>
  </si>
  <si>
    <t>Dish Service</t>
  </si>
  <si>
    <t>Forms &amp; Printing</t>
  </si>
  <si>
    <t>Training/Seminars</t>
  </si>
  <si>
    <t>Total</t>
  </si>
  <si>
    <t>Internet Services - T1 - Global Capacity</t>
  </si>
  <si>
    <t>Litigation</t>
  </si>
  <si>
    <t>Long Distance Calls</t>
  </si>
  <si>
    <t>Telephone Services</t>
  </si>
  <si>
    <r>
      <t xml:space="preserve">Text Blast </t>
    </r>
    <r>
      <rPr>
        <sz val="8"/>
        <color rgb="FF000000"/>
        <rFont val="Calibri"/>
        <family val="2"/>
      </rPr>
      <t>(text billing - Mobo)</t>
    </r>
  </si>
  <si>
    <r>
      <t xml:space="preserve">Verizon Wireless -Device Data Plans </t>
    </r>
    <r>
      <rPr>
        <sz val="6"/>
        <color rgb="FF000000"/>
        <rFont val="Calibri"/>
        <family val="2"/>
      </rPr>
      <t>(Mobile Hotspots)</t>
    </r>
  </si>
  <si>
    <t>Water, Electric, Garbage, Sewer</t>
  </si>
  <si>
    <t>changed isp for T1</t>
  </si>
  <si>
    <t>Suddenlink</t>
  </si>
  <si>
    <t>6225-Building Repairs/Maintenance</t>
  </si>
  <si>
    <t>A/C Preventive Maintenance</t>
  </si>
  <si>
    <t>A/C Repair</t>
  </si>
  <si>
    <t xml:space="preserve">Back flow preventive -  annual check </t>
  </si>
  <si>
    <t xml:space="preserve">Bulbs </t>
  </si>
  <si>
    <t>Carpet cleaning (upstairs &amp; downstairs) - once a year</t>
  </si>
  <si>
    <t xml:space="preserve">Cleaning Service </t>
  </si>
  <si>
    <t xml:space="preserve">Electrical work  </t>
  </si>
  <si>
    <t xml:space="preserve">Elevator Maintenance Contract </t>
  </si>
  <si>
    <t xml:space="preserve">Elevator Inspection Annual </t>
  </si>
  <si>
    <r>
      <t>Elevator Certificate of Compliance</t>
    </r>
    <r>
      <rPr>
        <sz val="8"/>
        <color rgb="FF000000"/>
        <rFont val="Calibri"/>
        <family val="2"/>
      </rPr>
      <t xml:space="preserve"> (TDLR) </t>
    </r>
    <r>
      <rPr>
        <sz val="11"/>
        <color rgb="FF000000"/>
        <rFont val="Calibri"/>
        <family val="2"/>
      </rPr>
      <t xml:space="preserve">Annual </t>
    </r>
  </si>
  <si>
    <t>Fire Alarm/Sprinkler/Extinguisher Inspection</t>
  </si>
  <si>
    <t>Needs recharge in 2024</t>
  </si>
  <si>
    <r>
      <t xml:space="preserve">Fire Extinguisher </t>
    </r>
    <r>
      <rPr>
        <sz val="8"/>
        <color rgb="FF000000"/>
        <rFont val="Calibri"/>
        <family val="2"/>
      </rPr>
      <t>(Recharge every 6 yrs 2024)</t>
    </r>
  </si>
  <si>
    <t xml:space="preserve">Grounds Maintenance </t>
  </si>
  <si>
    <t>Irrigation repair</t>
  </si>
  <si>
    <t>Knight Security - Secured Plan</t>
  </si>
  <si>
    <r>
      <t>Misc. Maintenance</t>
    </r>
    <r>
      <rPr>
        <sz val="8"/>
        <color rgb="FF000000"/>
        <rFont val="Calibri"/>
        <family val="2"/>
      </rPr>
      <t xml:space="preserve"> (plumbing, carpentry, painting)</t>
    </r>
  </si>
  <si>
    <t>Misc. Supplies</t>
  </si>
  <si>
    <t>Mulch</t>
  </si>
  <si>
    <t>Pest Control</t>
  </si>
  <si>
    <t>Power Wash Building and entryways</t>
  </si>
  <si>
    <t xml:space="preserve">Pump House Repairs </t>
  </si>
  <si>
    <t xml:space="preserve">Security &amp; Fire Monitoring Service </t>
  </si>
  <si>
    <t>Strip/Wax/Seal VCT Flooring &amp; Tile cleaning</t>
  </si>
  <si>
    <t xml:space="preserve">Wet Pond Maintenance </t>
  </si>
  <si>
    <t>Window cleaning</t>
  </si>
  <si>
    <t>6235-TLO Expense</t>
  </si>
  <si>
    <t>TLO Training</t>
  </si>
  <si>
    <t>6236-BOD Expense</t>
  </si>
  <si>
    <r>
      <t xml:space="preserve">Board of Directors Expenses </t>
    </r>
    <r>
      <rPr>
        <sz val="8"/>
        <rFont val="Calibri"/>
        <family val="2"/>
      </rPr>
      <t xml:space="preserve"> (Includes conferences, training, mileage, meals, supplies, etc)</t>
    </r>
  </si>
  <si>
    <t>6240-Publications</t>
  </si>
  <si>
    <t>Aircraft Bluebook</t>
  </si>
  <si>
    <t>Airpac Plane</t>
  </si>
  <si>
    <t>2 Subscriptions</t>
  </si>
  <si>
    <r>
      <t xml:space="preserve">Austin American Statesman </t>
    </r>
    <r>
      <rPr>
        <sz val="8"/>
        <color rgb="FF000000"/>
        <rFont val="Calibri"/>
        <family val="2"/>
      </rPr>
      <t xml:space="preserve">(on-line) </t>
    </r>
    <r>
      <rPr>
        <sz val="11"/>
        <color rgb="FF000000"/>
        <rFont val="Calibri"/>
        <family val="2"/>
      </rPr>
      <t>Subscription</t>
    </r>
  </si>
  <si>
    <t>Renew 2019</t>
  </si>
  <si>
    <t>Austin Business Journal</t>
  </si>
  <si>
    <t>Price increase</t>
  </si>
  <si>
    <t>no purchase in 2016 &amp; 2017</t>
  </si>
  <si>
    <t>BOMA - Experience Exchange Report</t>
  </si>
  <si>
    <t>Capitol Market Research</t>
  </si>
  <si>
    <t>CoStar Market Reports / Sales Listing Services</t>
  </si>
  <si>
    <t>Have a contract until 2019-2021</t>
  </si>
  <si>
    <t>Infonation - Vehicle Registration List</t>
  </si>
  <si>
    <t>IT training books from Amazon</t>
  </si>
  <si>
    <t>Job Posting Ads</t>
  </si>
  <si>
    <t>Renew Every Odd Year</t>
  </si>
  <si>
    <r>
      <t xml:space="preserve">Kelley Blue Book. Used Car Guide Older Cars </t>
    </r>
    <r>
      <rPr>
        <sz val="8"/>
        <rFont val="Calibri"/>
        <family val="2"/>
      </rPr>
      <t>(value vehicles ’91 forward)</t>
    </r>
  </si>
  <si>
    <t>Legal Ads - request for proposals</t>
  </si>
  <si>
    <t>Lynda.com - online software tutorials</t>
  </si>
  <si>
    <r>
      <t xml:space="preserve">Marshall &amp; Swift Network, Book, CD </t>
    </r>
    <r>
      <rPr>
        <sz val="8"/>
        <color rgb="FF000000"/>
        <rFont val="Calibri"/>
        <family val="2"/>
      </rPr>
      <t>(3 Commercial licenses and 1 Residential License)</t>
    </r>
  </si>
  <si>
    <t>Misc Publications</t>
  </si>
  <si>
    <r>
      <t xml:space="preserve">NADA Manufactured Housing Guide </t>
    </r>
    <r>
      <rPr>
        <sz val="8"/>
        <rFont val="Calibri"/>
        <family val="2"/>
      </rPr>
      <t>(22 Licenses)</t>
    </r>
    <r>
      <rPr>
        <sz val="11"/>
        <rFont val="Calibri"/>
        <family val="2"/>
      </rPr>
      <t xml:space="preserve"> Jan-April</t>
    </r>
  </si>
  <si>
    <r>
      <t xml:space="preserve">NADA – Used Car Guides </t>
    </r>
    <r>
      <rPr>
        <sz val="8"/>
        <rFont val="Calibri"/>
        <family val="2"/>
      </rPr>
      <t>(value used cars ’92 forward)</t>
    </r>
  </si>
  <si>
    <t>PKF Trends for Lodging</t>
  </si>
  <si>
    <t>Price Digest - Commercial Trailer Bluebook</t>
  </si>
  <si>
    <t>Price Digest - Truck Blue Book</t>
  </si>
  <si>
    <t>Pricewaterhouse Corp - Real Estate Investor Survey</t>
  </si>
  <si>
    <t>Real Estate Research Corp. (RERC)</t>
  </si>
  <si>
    <t>Realty Rates Investor and Market Survey</t>
  </si>
  <si>
    <t>Self Storage Almanac</t>
  </si>
  <si>
    <t>Senior Acquisition Report</t>
  </si>
  <si>
    <t>Source Strategies - Texas Hotel Performance</t>
  </si>
  <si>
    <t xml:space="preserve">6250-Contingency Emergency </t>
  </si>
  <si>
    <t>Emergency Reserve Funds</t>
  </si>
  <si>
    <t>6260-Consulting/Professional Services</t>
  </si>
  <si>
    <t>Auditor - 2017 Financials</t>
  </si>
  <si>
    <t>Change Analysis Department wide license</t>
  </si>
  <si>
    <r>
      <t xml:space="preserve">Change Finder Services </t>
    </r>
    <r>
      <rPr>
        <sz val="8"/>
        <color rgb="FF000000"/>
        <rFont val="Calibri"/>
        <family val="2"/>
      </rPr>
      <t>(Pictometry)</t>
    </r>
    <r>
      <rPr>
        <sz val="11"/>
        <color rgb="FF000000"/>
        <rFont val="Calibri"/>
        <family val="2"/>
      </rPr>
      <t xml:space="preserve"> .35/parcel</t>
    </r>
  </si>
  <si>
    <r>
      <t xml:space="preserve">Eagle View Image Service </t>
    </r>
    <r>
      <rPr>
        <sz val="8"/>
        <rFont val="Calibri"/>
        <family val="2"/>
      </rPr>
      <t>(aerials for web)</t>
    </r>
  </si>
  <si>
    <t>Employment Screening</t>
  </si>
  <si>
    <t>Legal Fees</t>
  </si>
  <si>
    <t>Outside Appraisal Services</t>
  </si>
  <si>
    <t>New agreement signed 1/12/2018</t>
  </si>
  <si>
    <t xml:space="preserve">Pictometry Aerials </t>
  </si>
  <si>
    <t>Pool Findr = .08/parcel</t>
  </si>
  <si>
    <t>Subvenion - System Network Maintenance</t>
  </si>
  <si>
    <t>Subvenion - Additional Project Hours</t>
  </si>
  <si>
    <t>6280-Maintenance Contracts</t>
  </si>
  <si>
    <t>Software maintenance</t>
  </si>
  <si>
    <t>Apex Software - Sketching Software Maintenance</t>
  </si>
  <si>
    <t>Barracuda Backup Energize Update 3 Year</t>
  </si>
  <si>
    <t>Barracuda Backup Instant Replacement 3 Year</t>
  </si>
  <si>
    <t>Barracuda Spam/Virus Energize Update</t>
  </si>
  <si>
    <t>Barracuda Spam/Virus Instant Replace</t>
  </si>
  <si>
    <t>Barracuda Proxy and Web Filter Energize Update</t>
  </si>
  <si>
    <t>Barracuda Proxy and Web Filter Instant Replacement</t>
  </si>
  <si>
    <t>Barracuda Message Archiver Energize Updates 1 Year</t>
  </si>
  <si>
    <t>Barracuda Message Archiver Instant Replacement 1 Year</t>
  </si>
  <si>
    <t>Constant Contact</t>
  </si>
  <si>
    <t>Digium Phone Server Support</t>
  </si>
  <si>
    <t>Digium Licenses - 105 subscription licenses</t>
  </si>
  <si>
    <t>ESRI - ArcGIS SDE Server Enterprise up to 4 cores maint (2)</t>
  </si>
  <si>
    <t>ESRI - ArcGIS Online Subscription</t>
  </si>
  <si>
    <t>Future Hardware Maintenance Contracts</t>
  </si>
  <si>
    <t>Intuit - QuickBooks Licenses / Update / Support</t>
  </si>
  <si>
    <t>Nemo Q</t>
  </si>
  <si>
    <t xml:space="preserve">Network Solutions - domain reg (wcad.org &amp; wcadonline.org) </t>
  </si>
  <si>
    <t>Plotter Maintenance</t>
  </si>
  <si>
    <t>R1 Maintenance HyperV Servers</t>
  </si>
  <si>
    <t>Revive - Cisco SMARTnet 24x7x4 C3750-24P</t>
  </si>
  <si>
    <t>Revive Smartnet 24X7X4 C3750-24P</t>
  </si>
  <si>
    <t>Revive Smartnet 24X7X4 2960G</t>
  </si>
  <si>
    <t>Revive Smartnet 24X7X4 3560G</t>
  </si>
  <si>
    <t>Revive SMARTnet 24X7X4 4948E iSCI switches</t>
  </si>
  <si>
    <t>Revive Smartnet 24X7X4 ASA 5505</t>
  </si>
  <si>
    <t>Cisco/firewall maintenance contracts</t>
  </si>
  <si>
    <t>Samanage</t>
  </si>
  <si>
    <t>Sidwell - Parcel Building Software Support</t>
  </si>
  <si>
    <t>Sidwell - Premium Software</t>
  </si>
  <si>
    <t>Sidwell - Portico Maintenance</t>
  </si>
  <si>
    <t>Teleform(verify) maintenance</t>
  </si>
  <si>
    <t>TLC Desktop Printer Management</t>
  </si>
  <si>
    <t xml:space="preserve">Tyler - Orion Software Maintenance </t>
  </si>
  <si>
    <t>Tyler - Pictometry Orion Interface</t>
  </si>
  <si>
    <t>Tyler - Orion Public Access for Appraisal</t>
  </si>
  <si>
    <t>Tyler - Orion GIS Advanced</t>
  </si>
  <si>
    <t>Tyler - Apex Interface</t>
  </si>
  <si>
    <t>Tyler - Sketch Validation for New Improvements</t>
  </si>
  <si>
    <t>Tyler - Appraisal Review Software</t>
  </si>
  <si>
    <t>(Field Mobile)</t>
  </si>
  <si>
    <t xml:space="preserve">Tyler Field Device Software Maintenance </t>
  </si>
  <si>
    <t>Warranty Renewal Emergent VM4</t>
  </si>
  <si>
    <t>Warranty Renewal Dell VM5</t>
  </si>
  <si>
    <t>Warranty Renewal Dell VM6</t>
  </si>
  <si>
    <t>Warranty Renewal Dell VM7</t>
  </si>
  <si>
    <t>Warranty Renewal Dell VM8</t>
  </si>
  <si>
    <t>Warranty Renewal Dell VMColo1</t>
  </si>
  <si>
    <t>Warranty Emergent VMColo2</t>
  </si>
  <si>
    <t>Warranty Renewal Emergent Equalogics 1</t>
  </si>
  <si>
    <t>Warranty Renewal Emergent Equalogics 2</t>
  </si>
  <si>
    <t>Warranty Renewal Emergent Equalogics 3</t>
  </si>
  <si>
    <t>Warranty Renewal Emergent Equalogics 5</t>
  </si>
  <si>
    <t>Warranty Renewal Emergent Equalogics 6</t>
  </si>
  <si>
    <t>Warranty Renewal Emergent Equalogics 7</t>
  </si>
  <si>
    <t>Warranty Renewal Emergent Equalogics 8</t>
  </si>
  <si>
    <t>Warranty Renewal Emergent Equalogics 9</t>
  </si>
  <si>
    <t>bundled all server hardware warranty</t>
  </si>
  <si>
    <t>Warranty Renewal Emergent OrionDB</t>
  </si>
  <si>
    <t>6285-Computer Services/Licenses</t>
  </si>
  <si>
    <t>GoDaddy 1 year SSL Certification</t>
  </si>
  <si>
    <t>HR / Payroll Software</t>
  </si>
  <si>
    <t xml:space="preserve">KnowBe4 - Employee Email Security Training/Testing </t>
  </si>
  <si>
    <t>Malwarebytes renewal</t>
  </si>
  <si>
    <t xml:space="preserve">Misc Field Apps/or software </t>
  </si>
  <si>
    <t>Misc Software</t>
  </si>
  <si>
    <t>Office 365</t>
  </si>
  <si>
    <t>Software purchases upgrades NitroPro PDF</t>
  </si>
  <si>
    <t>Adobe Suite</t>
  </si>
  <si>
    <t>ZenDesk</t>
  </si>
  <si>
    <t>ZenDesk (tech support/temps)</t>
  </si>
  <si>
    <t>battery backup maintenance</t>
  </si>
  <si>
    <t>Room Alert maintenance</t>
  </si>
  <si>
    <t>Just Appraised (deed viewer)</t>
  </si>
  <si>
    <t>Automax- automatic desktop patching software</t>
  </si>
  <si>
    <t>Kiosk software maintenance</t>
  </si>
  <si>
    <t>6290-Business Insurance</t>
  </si>
  <si>
    <t>2017 actual + increase by 5%</t>
  </si>
  <si>
    <t>Commercial Auto Policy - Non Owned</t>
  </si>
  <si>
    <t xml:space="preserve">Crime </t>
  </si>
  <si>
    <t>Errors &amp; Omission</t>
  </si>
  <si>
    <t xml:space="preserve">General Liability </t>
  </si>
  <si>
    <t xml:space="preserve">Real &amp; Personal Property </t>
  </si>
  <si>
    <t>6810-Debt Services</t>
  </si>
  <si>
    <t>Building payment</t>
  </si>
  <si>
    <t>8010-Computer Capital (Over $5,000)</t>
  </si>
  <si>
    <t>Server Hardware</t>
  </si>
  <si>
    <t>Server Operating System</t>
  </si>
  <si>
    <t>EqualLogic Storage</t>
  </si>
  <si>
    <t>2016 Sql Server License</t>
  </si>
  <si>
    <t>8020-Furniture and Fixtures (Over $5,000)</t>
  </si>
  <si>
    <t>gave 1% in 2017</t>
  </si>
  <si>
    <t>IAAO Membership - CAE (8), CMS (1), AAS (3) Designation</t>
  </si>
  <si>
    <t>This will be needed for the 2020 / 2021 years</t>
  </si>
  <si>
    <t>Increase in supplies</t>
  </si>
  <si>
    <t xml:space="preserve">TLO Expenses </t>
  </si>
  <si>
    <t>TLO Auto Allowance</t>
  </si>
  <si>
    <t>BOD increased in 2018</t>
  </si>
  <si>
    <r>
      <t>Austin Investor Interests</t>
    </r>
    <r>
      <rPr>
        <sz val="8"/>
        <color rgb="FF000000"/>
        <rFont val="Calibri"/>
        <family val="2"/>
      </rPr>
      <t xml:space="preserve"> (Sales Info &amp; Website)</t>
    </r>
  </si>
  <si>
    <t>Automotive News (digital &amp; data center access)</t>
  </si>
  <si>
    <r>
      <t xml:space="preserve">Loopnet Sales </t>
    </r>
    <r>
      <rPr>
        <sz val="8"/>
        <color rgb="FF000000"/>
        <rFont val="Calibri"/>
        <family val="2"/>
      </rPr>
      <t>(Sales/Lease Information)</t>
    </r>
  </si>
  <si>
    <t xml:space="preserve">bundled all server storage warranty </t>
  </si>
  <si>
    <t>move to cisco/ firewall maintenance</t>
  </si>
  <si>
    <t>Group Term Life Rate (0.16%)</t>
  </si>
  <si>
    <t>Required Plan Rate (16.19%)</t>
  </si>
  <si>
    <t>2018 - rate 16.12%</t>
  </si>
  <si>
    <t>Elected higher rate (16.47% + .16% = 16.63%)</t>
  </si>
  <si>
    <r>
      <t>Arbitrations</t>
    </r>
    <r>
      <rPr>
        <sz val="8"/>
        <color rgb="FF000000"/>
        <rFont val="Calibri"/>
        <family val="2"/>
      </rPr>
      <t xml:space="preserve"> (binding)</t>
    </r>
  </si>
  <si>
    <t xml:space="preserve">Temp / Part-time </t>
  </si>
  <si>
    <t>Based on actual expenses</t>
  </si>
  <si>
    <t>merit</t>
  </si>
  <si>
    <t>2018 Actual salaries current</t>
  </si>
  <si>
    <t>Merit for whole year</t>
  </si>
  <si>
    <t>Merit for 4 months needed Sept-Dec</t>
  </si>
  <si>
    <t>Actual salary at the end of 2018</t>
  </si>
  <si>
    <t>Budgeted start of 2019</t>
  </si>
  <si>
    <t>Diff between actual 2018 and budgeted start of 2019</t>
  </si>
  <si>
    <t>Amount removed from 2019 start which includes salaries for Dave and Jennifer</t>
  </si>
  <si>
    <t>2019 Suggested Budget Start</t>
  </si>
  <si>
    <t>COLA for Retirees?</t>
  </si>
  <si>
    <t>Qualifying Salaries (Temporaries) from 6010</t>
  </si>
  <si>
    <t>Personal Computers</t>
  </si>
  <si>
    <t>Lowered from 21 in 2018</t>
  </si>
  <si>
    <t>Replace Desktop PCs with these</t>
  </si>
  <si>
    <t>Budgeted below in Internal Hard Drives</t>
  </si>
  <si>
    <t>TAAD Seminar 6th BPP</t>
  </si>
  <si>
    <t>Not local this year</t>
  </si>
  <si>
    <r>
      <t xml:space="preserve">TDLR Membership - registered with the TDLR  </t>
    </r>
    <r>
      <rPr>
        <sz val="8"/>
        <rFont val="Calibri"/>
        <family val="2"/>
      </rPr>
      <t xml:space="preserve">  (33 x $60) - New registrant ($125 x 2)</t>
    </r>
  </si>
  <si>
    <t>Actual cost for thorough wash</t>
  </si>
  <si>
    <t>Actual cost</t>
  </si>
  <si>
    <t>Cost increase to include tree trimming</t>
  </si>
  <si>
    <t>Actual expense</t>
  </si>
  <si>
    <t>Click chrgs estimated overages</t>
  </si>
  <si>
    <t>Site24x7 monitoring</t>
  </si>
  <si>
    <t>New 2019</t>
  </si>
  <si>
    <t>NEW 2019</t>
  </si>
  <si>
    <t>Veeam backup solution</t>
  </si>
  <si>
    <t>New 2019 Project to automate deed ID (possible reserve expenditure for pilot project)</t>
  </si>
  <si>
    <t>increase durable flags</t>
  </si>
  <si>
    <t>Printers &amp; Copiers Lease</t>
  </si>
  <si>
    <t>New contract 2018 with TLC</t>
  </si>
  <si>
    <t>Misc Membership Fees</t>
  </si>
  <si>
    <t>Data Foundry</t>
  </si>
  <si>
    <t>Formerly Prismnet</t>
  </si>
  <si>
    <t xml:space="preserve">Short Term Disability ((3.94 x 71 emp x 12 mo)+$2,370) </t>
  </si>
  <si>
    <t>Pictometry Cached Image Services</t>
  </si>
  <si>
    <t>New</t>
  </si>
  <si>
    <t xml:space="preserve">Other Personnel Avg Miles/month </t>
  </si>
  <si>
    <t>membership increase ($190 to $210)</t>
  </si>
  <si>
    <r>
      <t xml:space="preserve">TDLR Certification Review/Exams </t>
    </r>
    <r>
      <rPr>
        <sz val="8"/>
        <rFont val="Calibri"/>
        <family val="2"/>
      </rPr>
      <t xml:space="preserve"> ($350(review)   $100(exam))</t>
    </r>
  </si>
  <si>
    <t>Spectrum</t>
  </si>
  <si>
    <t>Significant plumbing repairs in 2017/2018...anticipate more in 2019</t>
  </si>
  <si>
    <r>
      <t>Display Ads–</t>
    </r>
    <r>
      <rPr>
        <sz val="8"/>
        <rFont val="Calibri"/>
        <family val="2"/>
      </rPr>
      <t>Protest Procedures, Public Hearing ads &amp; Property Tax Benefits</t>
    </r>
  </si>
  <si>
    <r>
      <t>ESRI - ArcGIS Desktop (advanced)</t>
    </r>
    <r>
      <rPr>
        <sz val="8"/>
        <color rgb="FF000000"/>
        <rFont val="Calibri"/>
        <family val="2"/>
      </rPr>
      <t xml:space="preserve"> Concurrent use Primary Maintenance</t>
    </r>
  </si>
  <si>
    <r>
      <t xml:space="preserve">ESRI - ArcGIS Desktop (standard) </t>
    </r>
    <r>
      <rPr>
        <sz val="8"/>
        <color rgb="FF000000"/>
        <rFont val="Calibri"/>
        <family val="2"/>
      </rPr>
      <t>Concurrent use Primary Maintenance</t>
    </r>
  </si>
  <si>
    <r>
      <t xml:space="preserve">ESRI - ArcGIS Desktop (standard) </t>
    </r>
    <r>
      <rPr>
        <sz val="7"/>
        <color rgb="FF000000"/>
        <rFont val="Calibri"/>
        <family val="2"/>
      </rPr>
      <t>Concurrent use Secondary Maintenance</t>
    </r>
  </si>
  <si>
    <r>
      <t xml:space="preserve">ESRI - ArcGIS Desktop (advanced) </t>
    </r>
    <r>
      <rPr>
        <sz val="7"/>
        <rFont val="Calibri"/>
        <family val="2"/>
      </rPr>
      <t>Concurrent use Secondary Maintenance</t>
    </r>
  </si>
  <si>
    <r>
      <t xml:space="preserve">ESRI - ArcGIS Desktop (basic) </t>
    </r>
    <r>
      <rPr>
        <sz val="8"/>
        <color rgb="FF000000"/>
        <rFont val="Calibri"/>
        <family val="2"/>
      </rPr>
      <t>Single use Primary Maintenance</t>
    </r>
  </si>
  <si>
    <r>
      <t xml:space="preserve">ESRI - ArcGIS Desktop (basic) </t>
    </r>
    <r>
      <rPr>
        <sz val="7"/>
        <rFont val="Calibri"/>
        <family val="2"/>
      </rPr>
      <t>Single use Secondary Maintenance</t>
    </r>
  </si>
  <si>
    <r>
      <t xml:space="preserve">ESRI - ArcGIS Spatial Analyst </t>
    </r>
    <r>
      <rPr>
        <sz val="8"/>
        <rFont val="Calibri"/>
        <family val="2"/>
      </rPr>
      <t>Concurrent Use Primary Maintenance</t>
    </r>
  </si>
  <si>
    <r>
      <t xml:space="preserve">ESRI - ArcGIS 3D Analyst </t>
    </r>
    <r>
      <rPr>
        <sz val="8"/>
        <rFont val="Calibri"/>
        <family val="2"/>
      </rPr>
      <t>Concurrent Use Primary Maintenance</t>
    </r>
  </si>
  <si>
    <t>Replaced by VMWare</t>
  </si>
  <si>
    <t>VMWare</t>
  </si>
  <si>
    <t>IAAO Conference</t>
  </si>
  <si>
    <t>Staff member certifications</t>
  </si>
  <si>
    <t>HS Advertisement Insert</t>
  </si>
  <si>
    <t>BOD disc. (TAAD Conf in Austin '19)</t>
  </si>
  <si>
    <t>Added 1</t>
  </si>
  <si>
    <t>Salaries for eligible employees (Salary + Merit + OT + Longevity)*.97 (usage)</t>
  </si>
  <si>
    <t>Usage Reduction</t>
  </si>
  <si>
    <t>Converted in 2018</t>
  </si>
  <si>
    <t>Online Protest Postcards</t>
  </si>
  <si>
    <t>New process started 2017</t>
  </si>
  <si>
    <t>Dell Warranty Renewal</t>
  </si>
  <si>
    <t>Equalogic Warranty Renewal</t>
  </si>
  <si>
    <t>Warranty Colo Hardware</t>
  </si>
  <si>
    <t>Trend Micro Cloud Antivirus Solution</t>
  </si>
  <si>
    <t>Warranty Renewal Emergent Equalogics 4</t>
  </si>
  <si>
    <t>Start replacement schedule 1/3yr</t>
  </si>
  <si>
    <t>Field device replacements (21 devices total)</t>
  </si>
  <si>
    <t>BIS Consulting</t>
  </si>
  <si>
    <t>New Contract</t>
  </si>
  <si>
    <t>Development Projects</t>
  </si>
  <si>
    <t>WCAD.org Web Hosting BIS</t>
  </si>
  <si>
    <t xml:space="preserve">BIS Online Forms </t>
  </si>
  <si>
    <t>6330-ARB - Services</t>
  </si>
  <si>
    <t>ARB Domain for Office 365 Accounts (unique email addresses)</t>
  </si>
  <si>
    <t>does not include temp agencies</t>
  </si>
  <si>
    <t>17 actuals were more than budgeted in '18</t>
  </si>
  <si>
    <t xml:space="preserve">Neopost: Folder/Inserter </t>
  </si>
  <si>
    <t>BIS MRA Project (30k parcel project)</t>
  </si>
  <si>
    <t>Car Allowance = $600 x 12 months x 32 employees x .95(usage)</t>
  </si>
  <si>
    <t>every 3 years (2021/2024/2027...)</t>
  </si>
  <si>
    <t>renewal rates 9/1/2018</t>
  </si>
  <si>
    <t>Long Term Disability (.315% x annual payroll)</t>
  </si>
  <si>
    <t>Dependent Coverage ($134.30/month x 20 x 12)</t>
  </si>
  <si>
    <t>Dental - ($32.26/month x 71 employees x 8)+((32.26*5%)*71*4)</t>
  </si>
  <si>
    <t>Medical - (($616.18/month - $10.00)*71 employees*8)+(((616.18-10)*15%)*71*4)</t>
  </si>
  <si>
    <t>Vision Insurance Plan B ($6.17/month*71*8)+((6.17*5%)*71*4)</t>
  </si>
  <si>
    <t>2019 Approved Total</t>
  </si>
  <si>
    <t>2019 Approved Amount</t>
  </si>
  <si>
    <t>2019 Approved Budget</t>
  </si>
  <si>
    <t>Item</t>
  </si>
  <si>
    <t>5th &amp; 6th year - 70 meetings--2 members pay in 5th and 6th year</t>
  </si>
  <si>
    <t>Credit Card Charge</t>
  </si>
  <si>
    <t>Bill</t>
  </si>
  <si>
    <t>00723J</t>
  </si>
  <si>
    <t>00725J</t>
  </si>
  <si>
    <t>2626767</t>
  </si>
  <si>
    <t>264097799001</t>
  </si>
  <si>
    <t>264145485001</t>
  </si>
  <si>
    <t>76329</t>
  </si>
  <si>
    <t>76328</t>
  </si>
  <si>
    <t>76522</t>
  </si>
  <si>
    <t>40122597</t>
  </si>
  <si>
    <t>76625</t>
  </si>
  <si>
    <t>274196720001</t>
  </si>
  <si>
    <t>274206459001</t>
  </si>
  <si>
    <t>13QR-YPVC-TCDQ</t>
  </si>
  <si>
    <t>1WKP-Y3JX-TTDM</t>
  </si>
  <si>
    <t>77030</t>
  </si>
  <si>
    <t>Hobby Lobby</t>
  </si>
  <si>
    <t>HEB</t>
  </si>
  <si>
    <t>Amazon.com</t>
  </si>
  <si>
    <t>Minuteman Press</t>
  </si>
  <si>
    <t>Office Depot, Inc.</t>
  </si>
  <si>
    <t>Neopost USA Inc</t>
  </si>
  <si>
    <t>Amazon Business</t>
  </si>
  <si>
    <t>6110-12 - YoS Gift Bags</t>
  </si>
  <si>
    <t>6110-12 - office supplies</t>
  </si>
  <si>
    <t xml:space="preserve">6110-12 " Hand Delivered Date Stamp Self Inking Heavy Duty - ExcelMark"		</t>
  </si>
  <si>
    <t>6110-12 - Office supplies</t>
  </si>
  <si>
    <t>6110-12 - Business cards - CLindquist</t>
  </si>
  <si>
    <t>6110-12 - Business cards - WGordy &amp; HHayden</t>
  </si>
  <si>
    <t>6110-12 - Office supplies - Business Cards - BBrown</t>
  </si>
  <si>
    <t>6110-12 - Sealing kit</t>
  </si>
  <si>
    <t>6110-12 - Office supplies - Name plate</t>
  </si>
  <si>
    <t>BR.01.2019</t>
  </si>
  <si>
    <t>01142019</t>
  </si>
  <si>
    <t>23306</t>
  </si>
  <si>
    <t>0010481</t>
  </si>
  <si>
    <t>23564</t>
  </si>
  <si>
    <t>23563</t>
  </si>
  <si>
    <t>23565</t>
  </si>
  <si>
    <t>0010535</t>
  </si>
  <si>
    <t>0010553</t>
  </si>
  <si>
    <t>Postmaster</t>
  </si>
  <si>
    <t>Variverge</t>
  </si>
  <si>
    <t>Information Management Solutions</t>
  </si>
  <si>
    <t>6120-3 Replinish Business Reply Account - BR 74-001</t>
  </si>
  <si>
    <t>6120-13 - Replinish Postage Due Acct PD 95017-000</t>
  </si>
  <si>
    <t>6120-1 - BPP pre-pay postage NAV</t>
  </si>
  <si>
    <t>6120-7 - postage for HS postcard mailout - 2,972</t>
  </si>
  <si>
    <t>6120-14 - postage - 539</t>
  </si>
  <si>
    <t>6120-14 - postage - 6,529</t>
  </si>
  <si>
    <t>6120-14 - postage - 6,191</t>
  </si>
  <si>
    <t>6120-1 - postage for NAV mailout - Deposit</t>
  </si>
  <si>
    <t>76213</t>
  </si>
  <si>
    <t>37343</t>
  </si>
  <si>
    <t>76387</t>
  </si>
  <si>
    <t>25093</t>
  </si>
  <si>
    <t>25142</t>
  </si>
  <si>
    <t>Roberts Printing Co</t>
  </si>
  <si>
    <t>6130-12 - Business reply envelopes #9 - 2,500</t>
  </si>
  <si>
    <t>6130-13 - #10 window 5K</t>
  </si>
  <si>
    <t>6130-19 - Business Survey Cards - 1,000 cards</t>
  </si>
  <si>
    <t>6130-15 - HS postcards</t>
  </si>
  <si>
    <t>6130-17 - laser printing - 1,797</t>
  </si>
  <si>
    <t>6130-17 - rendering - 539</t>
  </si>
  <si>
    <t>6130-17 - paper for laser printing - 1,198</t>
  </si>
  <si>
    <t>6130-17 - 1st insert - 539</t>
  </si>
  <si>
    <t>6130-17 - 2nd insert - 539</t>
  </si>
  <si>
    <t>6130-17 - flats - 4</t>
  </si>
  <si>
    <t>6130-17 - envelopes - 539</t>
  </si>
  <si>
    <t>6130-17 - laser printing - 21,165</t>
  </si>
  <si>
    <t>6130-17 - rendering - 6,533</t>
  </si>
  <si>
    <t>6130-17 - paper for laser printing - 14,110</t>
  </si>
  <si>
    <t>6130-17 - 1st insert - 6,533</t>
  </si>
  <si>
    <t>6130-17 - 2nd insert - 6,533</t>
  </si>
  <si>
    <t>6130-17 - flats - 24</t>
  </si>
  <si>
    <t>6130-17 - envelopes - 6,533</t>
  </si>
  <si>
    <t>6130-17 - laser printing - 21,702</t>
  </si>
  <si>
    <t>6130-17 - rendering - 6,194</t>
  </si>
  <si>
    <t>6130-17 - paper for laser printing - 14,468</t>
  </si>
  <si>
    <t>6130-17 - 1st insert - 6,194</t>
  </si>
  <si>
    <t>6130-17 - 2nd insert - 6,194</t>
  </si>
  <si>
    <t>6130-17 - flats - 48</t>
  </si>
  <si>
    <t>6130-17 - envelopes - 6,194</t>
  </si>
  <si>
    <t>AUS38861</t>
  </si>
  <si>
    <t>AUS39781</t>
  </si>
  <si>
    <t>Vanguard Cleaning Systems</t>
  </si>
  <si>
    <t>6140-1 - janitorial supplies</t>
  </si>
  <si>
    <t>5879423</t>
  </si>
  <si>
    <t>6913862</t>
  </si>
  <si>
    <t>2833009</t>
  </si>
  <si>
    <t>10293820691</t>
  </si>
  <si>
    <t>2887463</t>
  </si>
  <si>
    <t>65894798207</t>
  </si>
  <si>
    <t>848718</t>
  </si>
  <si>
    <t>Dell</t>
  </si>
  <si>
    <t>hayneedle.com</t>
  </si>
  <si>
    <t>6150-17 Amazon Basics TV Wall Mount 22" to 55"			  Model: 7851B   ASIN: 7851B</t>
  </si>
  <si>
    <t>6150-8 Dell 130W Laptop Charger			  Model: HA130PM130   ASIN: B01LYTDPSN</t>
  </si>
  <si>
    <t>6150-8 Laptop Bag for Women			  Model: AZG0019#black    ASIN: B07BK358QL</t>
  </si>
  <si>
    <t>6150-8 Amazon Basics Mini Displayport to HDMI 6'			  Model: AZDPHD06   ASIN: B0134V3KIA</t>
  </si>
  <si>
    <t xml:space="preserve">6150-8 Amazon Basics Mini Displayport to Displayport 6'			  Model: HL-007271   ASIN: B013PWQPFS	</t>
  </si>
  <si>
    <t>6150-9 Plantronics CS530 Wireless Headset			  (Certified Refurbished)   ASIN: B07GL513XH</t>
  </si>
  <si>
    <t>6150-9 Plantronics APP-51 EHS Hook Switch Landline Cable			  Model: 38439-11   ASIN: B007IP8NNQ</t>
  </si>
  <si>
    <t>6150-8 Dell XPS 15 with 3 year accidental warranty</t>
  </si>
  <si>
    <t>6150-9 SIIG Premium 1x4 HDMI Splitter 4K 60HZ HDR 			  Model: CE-H22L12-S1   ASIN: B074B2SNGQ</t>
  </si>
  <si>
    <t>6150-9 Coral Coast 9-ft. Sunbrella Deluxe Tilt Aluminum Patio Umbrella</t>
  </si>
  <si>
    <t xml:space="preserve">6150-9 Plantronics EncorePro HW710 Corded Headset			  Item: HW710-U10P   ASIN: B00VQT7LGA	</t>
  </si>
  <si>
    <t>7569035</t>
  </si>
  <si>
    <t>01256J</t>
  </si>
  <si>
    <t>Best Buy</t>
  </si>
  <si>
    <t>6160-12 Mr Shield for Microsoft Surface Pro 4			  Model: 4328741732   ASIN: B01LZHQWNN</t>
  </si>
  <si>
    <t xml:space="preserve">6160-10 Targus 4k Dock model DSU400US			</t>
  </si>
  <si>
    <t xml:space="preserve">6160-10 Cordmate 2 kit (hides wires for wall mounts)		</t>
  </si>
  <si>
    <t>Credit</t>
  </si>
  <si>
    <t>19-00005648</t>
  </si>
  <si>
    <t>renewal.19.JWG</t>
  </si>
  <si>
    <t>renewal.19.RM</t>
  </si>
  <si>
    <t>renewal.19.DEA</t>
  </si>
  <si>
    <t>renewal.19.CRB</t>
  </si>
  <si>
    <t>renewal.19.SMH (A/C)</t>
  </si>
  <si>
    <t>renewal.19.SMH (RPA)</t>
  </si>
  <si>
    <t>renewal.19.BE</t>
  </si>
  <si>
    <t>Renewal.2019</t>
  </si>
  <si>
    <t>01..21.2018</t>
  </si>
  <si>
    <t>012019</t>
  </si>
  <si>
    <t>01.2018</t>
  </si>
  <si>
    <t>License.WSG.2019</t>
  </si>
  <si>
    <t>R68URQ</t>
  </si>
  <si>
    <t>License.HAH.2019</t>
  </si>
  <si>
    <t>20-27063451</t>
  </si>
  <si>
    <t>010719</t>
  </si>
  <si>
    <t>01072019</t>
  </si>
  <si>
    <t>00715C</t>
  </si>
  <si>
    <t>01082019</t>
  </si>
  <si>
    <t>01.2019</t>
  </si>
  <si>
    <t>renewal.19.CAV</t>
  </si>
  <si>
    <t>renewal.19.CLP</t>
  </si>
  <si>
    <t>Conf.19</t>
  </si>
  <si>
    <t>15474956863</t>
  </si>
  <si>
    <t>01510C</t>
  </si>
  <si>
    <t>License.JTM.2019</t>
  </si>
  <si>
    <t>License.KCM.2019</t>
  </si>
  <si>
    <t>01781J</t>
  </si>
  <si>
    <t>01821C</t>
  </si>
  <si>
    <t>045-250949</t>
  </si>
  <si>
    <t>renewal.19.JWH</t>
  </si>
  <si>
    <t>renewal.19.JBB</t>
  </si>
  <si>
    <t>02.2019</t>
  </si>
  <si>
    <t>01282019</t>
  </si>
  <si>
    <t>OPS6SP</t>
  </si>
  <si>
    <t>03.2019</t>
  </si>
  <si>
    <t>520552</t>
  </si>
  <si>
    <t>renewal.2019</t>
  </si>
  <si>
    <t>02042019</t>
  </si>
  <si>
    <t>9007810926</t>
  </si>
  <si>
    <t>85</t>
  </si>
  <si>
    <t>renewal.19.ALB</t>
  </si>
  <si>
    <t>renewal.19.PGM</t>
  </si>
  <si>
    <t>200012330</t>
  </si>
  <si>
    <t>Conf.2019</t>
  </si>
  <si>
    <t>02729C</t>
  </si>
  <si>
    <t>2019</t>
  </si>
  <si>
    <t>IAAO - Membership</t>
  </si>
  <si>
    <t>TAAD</t>
  </si>
  <si>
    <t>Uber - taxi services</t>
  </si>
  <si>
    <t>Southwest Airlines</t>
  </si>
  <si>
    <t>dickey's Barbecue Pit</t>
  </si>
  <si>
    <t>ABIA Parking</t>
  </si>
  <si>
    <t>IAAO</t>
  </si>
  <si>
    <t>HR.com</t>
  </si>
  <si>
    <t>Stiles Switch BBQ</t>
  </si>
  <si>
    <t>Alvin Lankford</t>
  </si>
  <si>
    <t>Tony &amp; Luigis</t>
  </si>
  <si>
    <t>Tyler Technologies</t>
  </si>
  <si>
    <t>Elizabeth B Jones</t>
  </si>
  <si>
    <t>Heather Hayden</t>
  </si>
  <si>
    <t>Capitol Grill</t>
  </si>
  <si>
    <t>Texas CO-OP Annual Membership</t>
  </si>
  <si>
    <t>Wade Gordy</t>
  </si>
  <si>
    <t>SHRM</t>
  </si>
  <si>
    <t>Capitol Visitors Parking Garage</t>
  </si>
  <si>
    <t>Laurie Brown Communications</t>
  </si>
  <si>
    <t>TAAO</t>
  </si>
  <si>
    <t>Culinary Dropout</t>
  </si>
  <si>
    <t>Metro Council of Appraisal Districts</t>
  </si>
  <si>
    <t>6210-20 - Certificate of Excellence yearly fee 2019</t>
  </si>
  <si>
    <t>6210-33 - License renewal - JGriner</t>
  </si>
  <si>
    <t>6210-33 - License renewal - RMata</t>
  </si>
  <si>
    <t>6210-33 - License renewal - DArrieta</t>
  </si>
  <si>
    <t>6210-33 - License renewal - CBounds</t>
  </si>
  <si>
    <t>6210-33 - License renewal - SHeatley-Dugger (A/C)</t>
  </si>
  <si>
    <t>6210-33 - License renewal - SHeatley-Dugger (RPA)</t>
  </si>
  <si>
    <t>6210-33 - License renewal - BEdsell</t>
  </si>
  <si>
    <t>6210-25 - membership renewal</t>
  </si>
  <si>
    <t>6210-28 - Course 5 - BEdsell</t>
  </si>
  <si>
    <t>6210-28 - Course 31 - DDaniell</t>
  </si>
  <si>
    <t>6210-19 - Uber trip - ARL personal usage - district reimbursed</t>
  </si>
  <si>
    <t>6210-28 - Course 3 - AGarland</t>
  </si>
  <si>
    <t>6210-33 - WGordy</t>
  </si>
  <si>
    <t>6210-20 - Travel to Dallas - Leg Committee mtg</t>
  </si>
  <si>
    <t>6210-33 - HHayden</t>
  </si>
  <si>
    <t>6210-4 - gift cards</t>
  </si>
  <si>
    <t>6210-20 - Leadership &amp; Management Skills for Women - JMiller, AUrbanek, PMetcalfe, RWilhite, LJones</t>
  </si>
  <si>
    <t>6210-19 - Leg committee mtg - Dallas - DCAD - Airport</t>
  </si>
  <si>
    <t>6210-19 - Leg committee mtg - Dallas - Airport to DCAD</t>
  </si>
  <si>
    <t>6210-19 - Legislative Comm Mtg - Lunch - ARL</t>
  </si>
  <si>
    <t>6210-19 - Parking @ airport - travel to Dallas - Leg Comm Mtg - ARL</t>
  </si>
  <si>
    <t>6210-12 - Candidacies fee - ARL</t>
  </si>
  <si>
    <t>6210-14 - AAS Case Study - ARL</t>
  </si>
  <si>
    <t>6210-12 - Candidacy fee - CBC</t>
  </si>
  <si>
    <t>6210-14 - AAS Case Study - CBC</t>
  </si>
  <si>
    <t>6210-33 - License renewal - CVasquez</t>
  </si>
  <si>
    <t>6210-33 - License renewal - CPark</t>
  </si>
  <si>
    <t>6210-23 - Alvin Lankford</t>
  </si>
  <si>
    <t>6210-23 - Chris Connelly</t>
  </si>
  <si>
    <t>6210-23 - Michael Page</t>
  </si>
  <si>
    <t>6210-23 - James Griner</t>
  </si>
  <si>
    <t>6210-23 - Rae Wilhite</t>
  </si>
  <si>
    <t>6210-23 - Pam Metcalfe</t>
  </si>
  <si>
    <t>6210-23 - Victor Longstreth</t>
  </si>
  <si>
    <t>6210-23 - Aaron Stenluson</t>
  </si>
  <si>
    <t>6210-23 - Richard Quinlan</t>
  </si>
  <si>
    <t>6210-23 - Kimberly Gamboa</t>
  </si>
  <si>
    <t>6210-23 - Colleen McElroy</t>
  </si>
  <si>
    <t>6210-23 - Cliff Park</t>
  </si>
  <si>
    <t>6210-23 - Ryan Meyer</t>
  </si>
  <si>
    <t>6210-28 - Course 101 - Wade Gordy</t>
  </si>
  <si>
    <t>6210-28 - Course 101 - Heather Hayden</t>
  </si>
  <si>
    <t>6210-28 - Course 102 - Wade Gordy</t>
  </si>
  <si>
    <t>6210-28 - Course 102 - Heather Hayden</t>
  </si>
  <si>
    <t>6210-8 - HR Prep Course - KGamboa</t>
  </si>
  <si>
    <t>6210-33 - JMiller</t>
  </si>
  <si>
    <t>6210-33 - KCMcDade</t>
  </si>
  <si>
    <t>6210-4 - District retirement gift - JShamblin</t>
  </si>
  <si>
    <t>6210-18 - Reimbursement - AAS Case Study Review - lunch (CBC &amp; ARL)</t>
  </si>
  <si>
    <t>6210-19 - Legislative mtg</t>
  </si>
  <si>
    <t>6210-19 - reimburse district - personal UBER...used district cc by mistake</t>
  </si>
  <si>
    <t>6210-35 - Tyler Connect - CBC</t>
  </si>
  <si>
    <t>6210-35 - Tyler Connect - JMiller</t>
  </si>
  <si>
    <t>6210-35 - Tyler Connect - ARL</t>
  </si>
  <si>
    <t>6210-33 - License renewal - JWHuntsberger</t>
  </si>
  <si>
    <t>6210-33 - License renewal - JBBrown</t>
  </si>
  <si>
    <t>6210-20 - Seminar - reimbursement meal &amp; mileage</t>
  </si>
  <si>
    <t>6210-7 - Conference 2019 - AMoore</t>
  </si>
  <si>
    <t>6210-7 - Conference 2019 - KCMcDade</t>
  </si>
  <si>
    <t>6210-28 - State Course - reimbursement meals</t>
  </si>
  <si>
    <t>6210-19 - Lunch - before mtg with Representative Talarico's Office</t>
  </si>
  <si>
    <t>6210-7 - Airlines - GIS/CAMA Conference - KCM</t>
  </si>
  <si>
    <t>6210-7 - Airlines - GIS/CAMA Conference - SAM</t>
  </si>
  <si>
    <t>6210-28 - Course 7 - Amber Simpson</t>
  </si>
  <si>
    <t>6210-28 - Course 7 - Jessica Miller</t>
  </si>
  <si>
    <t>6210-28 - Laws &amp; Rules Update 2017 - LWright</t>
  </si>
  <si>
    <t>6210-18 - annual membership renewal</t>
  </si>
  <si>
    <t>6210-14 - IAAO Demonstration Appraisal Report - JGriner</t>
  </si>
  <si>
    <t>6210-19 - parking @ Capitol</t>
  </si>
  <si>
    <t>6210-33 - License renewal - ALBayler</t>
  </si>
  <si>
    <t>6210-33 - License renewal - PGMetcalfe</t>
  </si>
  <si>
    <t>6210-29 - TAAO Conference - JGriner</t>
  </si>
  <si>
    <t>6210-29 - TAAO Conference registration - Richard Quinlan</t>
  </si>
  <si>
    <t>6210-23 - TAAD Conference lunch - 11 ee's</t>
  </si>
  <si>
    <t>6210-18 - Annual dues</t>
  </si>
  <si>
    <t>6210-28 - Gift Certificate</t>
  </si>
  <si>
    <t>6210-9 - 1/2 pymt Motivational / Communication Speaker</t>
  </si>
  <si>
    <t>6210-13 - IAAO AAS Case Study review - lunch - ARL &amp; CBC</t>
  </si>
  <si>
    <t>6210-13 - Workshop 852 - Student Reference Manual</t>
  </si>
  <si>
    <t>6210-18 - Membership renewal</t>
  </si>
  <si>
    <t>N7474525</t>
  </si>
  <si>
    <t>23888114</t>
  </si>
  <si>
    <t>AR133259</t>
  </si>
  <si>
    <t>24068490</t>
  </si>
  <si>
    <t>N7550912</t>
  </si>
  <si>
    <t>28AR139178</t>
  </si>
  <si>
    <t>24250764</t>
  </si>
  <si>
    <t>TLC Office Systems (Dallas)</t>
  </si>
  <si>
    <t>TLC Office Systems (Ohio)</t>
  </si>
  <si>
    <t>MailFinance</t>
  </si>
  <si>
    <t>6215-3 - lease meter machine</t>
  </si>
  <si>
    <t>6215-4 - lease copiers/printers</t>
  </si>
  <si>
    <t>6215-4 - copier monthly maintenance</t>
  </si>
  <si>
    <t>6215-2 Lease folder/inserter machine</t>
  </si>
  <si>
    <t>121918</t>
  </si>
  <si>
    <t>12282018</t>
  </si>
  <si>
    <t>12.19.2018</t>
  </si>
  <si>
    <t>12192018</t>
  </si>
  <si>
    <t>01252019</t>
  </si>
  <si>
    <t>I2018123101002</t>
  </si>
  <si>
    <t>I2018123101004</t>
  </si>
  <si>
    <t>I2019010201003</t>
  </si>
  <si>
    <t>01042019</t>
  </si>
  <si>
    <t>0365937010719</t>
  </si>
  <si>
    <t>9821988962</t>
  </si>
  <si>
    <t>011919</t>
  </si>
  <si>
    <t>2787230258338x012719</t>
  </si>
  <si>
    <t>I2019020101399</t>
  </si>
  <si>
    <t>02252019</t>
  </si>
  <si>
    <t>02288J</t>
  </si>
  <si>
    <t>01.21.19</t>
  </si>
  <si>
    <t>0365937020119</t>
  </si>
  <si>
    <t>7990076691901</t>
  </si>
  <si>
    <t>9823934016</t>
  </si>
  <si>
    <t>03252019</t>
  </si>
  <si>
    <t>2787230258338x022719</t>
  </si>
  <si>
    <t>021919</t>
  </si>
  <si>
    <t>I2019030101396</t>
  </si>
  <si>
    <t>022819</t>
  </si>
  <si>
    <t>Frontier Communications</t>
  </si>
  <si>
    <t>City of Georgetown</t>
  </si>
  <si>
    <t>Suddenlink Business</t>
  </si>
  <si>
    <t>Spectrum Business</t>
  </si>
  <si>
    <t>Verizon Wireless</t>
  </si>
  <si>
    <t>AT&amp;T</t>
  </si>
  <si>
    <t>Verizon Business</t>
  </si>
  <si>
    <t>6220-8 - telephone services</t>
  </si>
  <si>
    <t>6220-11 - Water, electric, sewer, garbage</t>
  </si>
  <si>
    <t>6220-11 - storm drainage</t>
  </si>
  <si>
    <t>6220-7 - internet services</t>
  </si>
  <si>
    <t>6220-4 Deposit Invoice</t>
  </si>
  <si>
    <t>6220-4 One day of service</t>
  </si>
  <si>
    <t>6220-4 Setup fee</t>
  </si>
  <si>
    <t>6220-4 - utilities</t>
  </si>
  <si>
    <t>6220-6 - Internet services</t>
  </si>
  <si>
    <t>6220-10 - Data plans</t>
  </si>
  <si>
    <t>6220-1 - data plans</t>
  </si>
  <si>
    <t>6210-4 - Down Payment for park rental</t>
  </si>
  <si>
    <t>6220-5 - LDC - January 2019</t>
  </si>
  <si>
    <t>SCPAY00116049</t>
  </si>
  <si>
    <t>198505-479</t>
  </si>
  <si>
    <t>AUS38755</t>
  </si>
  <si>
    <t>21247</t>
  </si>
  <si>
    <t>4410623</t>
  </si>
  <si>
    <t>189542-01</t>
  </si>
  <si>
    <t>808809</t>
  </si>
  <si>
    <t>42770</t>
  </si>
  <si>
    <t>SCPAY00116728</t>
  </si>
  <si>
    <t>AUS39258</t>
  </si>
  <si>
    <t>21423</t>
  </si>
  <si>
    <t>02132019</t>
  </si>
  <si>
    <t>26292</t>
  </si>
  <si>
    <t>41172</t>
  </si>
  <si>
    <t>6858065</t>
  </si>
  <si>
    <t>26323</t>
  </si>
  <si>
    <t>42960</t>
  </si>
  <si>
    <t>199505-135</t>
  </si>
  <si>
    <t>AUS39769</t>
  </si>
  <si>
    <t>SCPAY00117293</t>
  </si>
  <si>
    <t>Entech Sales and Services</t>
  </si>
  <si>
    <t>Northstar Alarm &amp; Suppression System, LLC</t>
  </si>
  <si>
    <t>Stillwater Landscapes</t>
  </si>
  <si>
    <t>Knight Security Systems</t>
  </si>
  <si>
    <t>Lochow Ranch Pond &amp; Lake</t>
  </si>
  <si>
    <t>Turner Electric Inc</t>
  </si>
  <si>
    <t>Mainstream Services Inc</t>
  </si>
  <si>
    <t>Alliance Safety and Fire Protection L.P.</t>
  </si>
  <si>
    <t>King's Pest Control</t>
  </si>
  <si>
    <t>6225-1 - HVAC PM</t>
  </si>
  <si>
    <t>6225-22 - Quarterly Fire Alarm Monitoring</t>
  </si>
  <si>
    <t>6225-6 - Janitorial services - January 2019</t>
  </si>
  <si>
    <t>6225-13 - grounds maintenance</t>
  </si>
  <si>
    <t>6225-17 AED Sticker 4" x 4"			  Part: D-80-436   ASIN: B06Y2LF7Z9</t>
  </si>
  <si>
    <t>6225-16 - time specs were all deleted</t>
  </si>
  <si>
    <t>6225-24 - monthly fee</t>
  </si>
  <si>
    <t>6225-6 - Janitorial services - February 2019</t>
  </si>
  <si>
    <t>6225-16 - plumbing services</t>
  </si>
  <si>
    <t>6225-3 - Annual fireline backflow inspection</t>
  </si>
  <si>
    <t>6225-19 - pest services</t>
  </si>
  <si>
    <t>6225-24 - Copper Based Liquid Algaecide</t>
  </si>
  <si>
    <t>6225-24 - Black Lake Dye</t>
  </si>
  <si>
    <t>6225-6 - Janitorial services - March 2019</t>
  </si>
  <si>
    <t>Conf.19.BOD</t>
  </si>
  <si>
    <t>02.2019.Conf</t>
  </si>
  <si>
    <t>Charles Rouse</t>
  </si>
  <si>
    <t>6235-1 TLO Expense</t>
  </si>
  <si>
    <t>6235-2 Auto Allowance</t>
  </si>
  <si>
    <t>6235-3 - Charley Rouse</t>
  </si>
  <si>
    <t>6235-1 - TLO Expense</t>
  </si>
  <si>
    <t>6235-2 - Auto Allowance</t>
  </si>
  <si>
    <t>6235-3 - TAAD Conference - mileage reimbursement</t>
  </si>
  <si>
    <t>541</t>
  </si>
  <si>
    <t>00406C</t>
  </si>
  <si>
    <t>00687C</t>
  </si>
  <si>
    <t>01393C</t>
  </si>
  <si>
    <t>01449C</t>
  </si>
  <si>
    <t>TAAD2019</t>
  </si>
  <si>
    <t>Wildfire</t>
  </si>
  <si>
    <t>Freda's Seafood Grille</t>
  </si>
  <si>
    <t>Lupe Tortilla</t>
  </si>
  <si>
    <t>Greenhouse</t>
  </si>
  <si>
    <t>Donald L Hisle</t>
  </si>
  <si>
    <t>6236-1 - Chad Chadwell - 1 day</t>
  </si>
  <si>
    <t>6236-1 - Rufus Honeycutt</t>
  </si>
  <si>
    <t>6236-1 - Don Hisle</t>
  </si>
  <si>
    <t>6236-1 - Jon Jewett</t>
  </si>
  <si>
    <t>6236-1 Conference - 1 day - RHoneycutt</t>
  </si>
  <si>
    <t>6236-1 - Board lunch - ARL, LGaddes, RHoneycutt</t>
  </si>
  <si>
    <t>6236-1 - Board lunch - ARL, CChadwell, DHisle</t>
  </si>
  <si>
    <t>6210-19 - Investment Advisory Committee Mtg - ARL, DHisle, KGamboa</t>
  </si>
  <si>
    <t>6236-1 - Board Lunch - ARL, JJewitt, HGibbs</t>
  </si>
  <si>
    <t>6236-1 TAAD Conference Expense Reimbursement</t>
  </si>
  <si>
    <t>108536052-1</t>
  </si>
  <si>
    <t>108759276-1</t>
  </si>
  <si>
    <t>INV29285784</t>
  </si>
  <si>
    <t>1871590</t>
  </si>
  <si>
    <t>80924d06ba4</t>
  </si>
  <si>
    <t>AP1EFB1CB3D</t>
  </si>
  <si>
    <t>8512-5652</t>
  </si>
  <si>
    <t>16432</t>
  </si>
  <si>
    <t>12187090</t>
  </si>
  <si>
    <t>108967682-1</t>
  </si>
  <si>
    <t>CoStar Realty Information, Inc.</t>
  </si>
  <si>
    <t>Austin American Statesman</t>
  </si>
  <si>
    <t>LoopNet</t>
  </si>
  <si>
    <t>Capitol Extension</t>
  </si>
  <si>
    <t>Irving Levin Associates Inc</t>
  </si>
  <si>
    <t>Mini-Storage Messenger</t>
  </si>
  <si>
    <t>Source Strategies</t>
  </si>
  <si>
    <t>Infonation Inc.</t>
  </si>
  <si>
    <t>Lynda.com</t>
  </si>
  <si>
    <t>Williamson County Sun</t>
  </si>
  <si>
    <t>6240-9 - publication</t>
  </si>
  <si>
    <t>6210-28 - IAAO Course 102 - AStenulson</t>
  </si>
  <si>
    <t>6240-3 - monthly subscription on-line</t>
  </si>
  <si>
    <t>6240-16 - Publication</t>
  </si>
  <si>
    <t>6240-19 - TX Legislative Handbook</t>
  </si>
  <si>
    <t>6240-29 - Senior Care Acquisition Reports</t>
  </si>
  <si>
    <t>6240-28 - Self Storage Almanac</t>
  </si>
  <si>
    <t>6240-30 - TX Hotel Performance Factbook</t>
  </si>
  <si>
    <t>6240-19 Hotel Brand Report</t>
  </si>
  <si>
    <t>6240-11 - publication</t>
  </si>
  <si>
    <t>6240-17 - publication</t>
  </si>
  <si>
    <t>6240-17 Lynda.com Renewal</t>
  </si>
  <si>
    <t>6240-10 Display Ad - Benefits Ad</t>
  </si>
  <si>
    <t>6240-13 - Gift Certificate - Advertisement</t>
  </si>
  <si>
    <t>4820</t>
  </si>
  <si>
    <t>1069</t>
  </si>
  <si>
    <t>01092019</t>
  </si>
  <si>
    <t>US417430</t>
  </si>
  <si>
    <t>285075</t>
  </si>
  <si>
    <t>19922</t>
  </si>
  <si>
    <t>1081</t>
  </si>
  <si>
    <t>1082</t>
  </si>
  <si>
    <t>SP-19-02</t>
  </si>
  <si>
    <t>070-3126</t>
  </si>
  <si>
    <t>5801</t>
  </si>
  <si>
    <t>8126768681</t>
  </si>
  <si>
    <t>1084</t>
  </si>
  <si>
    <t>0089</t>
  </si>
  <si>
    <t>0099</t>
  </si>
  <si>
    <t>1085</t>
  </si>
  <si>
    <t>Subvenion</t>
  </si>
  <si>
    <t>Law Office of Lisa Richardson, PC</t>
  </si>
  <si>
    <t>Pictometry International Corp</t>
  </si>
  <si>
    <t>On Site Services</t>
  </si>
  <si>
    <t>Lynn Law, PLLC</t>
  </si>
  <si>
    <t>Aegis Group, Inc.</t>
  </si>
  <si>
    <t>Perdue, Brandon, Fielder, Collins &amp; Mott</t>
  </si>
  <si>
    <t>Shred-It Austin</t>
  </si>
  <si>
    <t>6260-3 - computer consultants - 3months</t>
  </si>
  <si>
    <t>6260-15 - computer consultant</t>
  </si>
  <si>
    <t>6260-10 - Mediation - CN Westinghouse Pointe Apartments LP</t>
  </si>
  <si>
    <t>6260-12 Image Library</t>
  </si>
  <si>
    <t>6260-9 - Employment screening - AGarland, WGordy &amp; HHayden</t>
  </si>
  <si>
    <t>6260-10 - professional services</t>
  </si>
  <si>
    <t>6260-16 - computer consultant - COLO move / Firewall Rules</t>
  </si>
  <si>
    <t>6260-10 - HR attorney - Personnel Policy</t>
  </si>
  <si>
    <t>6260-10 - 2015/2016 - Equal &amp; Uniform Appraisal - Cause 15-0635-C26</t>
  </si>
  <si>
    <t>6260-10 - professional services - January Expenses</t>
  </si>
  <si>
    <t>6260-14 - Shredding services</t>
  </si>
  <si>
    <t>AR129891</t>
  </si>
  <si>
    <t>4769</t>
  </si>
  <si>
    <t>112388</t>
  </si>
  <si>
    <t>303029</t>
  </si>
  <si>
    <t>070-2851</t>
  </si>
  <si>
    <t>070-2850</t>
  </si>
  <si>
    <t>ADD00681382</t>
  </si>
  <si>
    <t>AR135862</t>
  </si>
  <si>
    <t>928671670</t>
  </si>
  <si>
    <t>928673989</t>
  </si>
  <si>
    <t>929683623</t>
  </si>
  <si>
    <t>28AR140840</t>
  </si>
  <si>
    <t>The Sidwell Company</t>
  </si>
  <si>
    <t>Apex Software</t>
  </si>
  <si>
    <t>R1Soft</t>
  </si>
  <si>
    <t>Adobe</t>
  </si>
  <si>
    <t>Open Text Inc</t>
  </si>
  <si>
    <t>Network Solutions</t>
  </si>
  <si>
    <t>6280-45 - monthly printer services</t>
  </si>
  <si>
    <t>6280-55 - Yearly web hosting</t>
  </si>
  <si>
    <t>6280-10 - Yearly online forms</t>
  </si>
  <si>
    <t>6280-42 - Premium Software Support Program - 01/13/2018 - 01/12/2019</t>
  </si>
  <si>
    <t>6280-1 maintenance renewal</t>
  </si>
  <si>
    <t>6280-46 - Appraisal</t>
  </si>
  <si>
    <t>6280-48 - Public Access for Appraisal</t>
  </si>
  <si>
    <t>6280-47 - Pictometry Interface</t>
  </si>
  <si>
    <t>6280-49 - ESRI GIS Interface</t>
  </si>
  <si>
    <t>6280-52 - Appraisal Review - 5 seats</t>
  </si>
  <si>
    <t>6280-29 - Virtual Servers</t>
  </si>
  <si>
    <t>6280-29 - Physical Servers</t>
  </si>
  <si>
    <t>6280-29 - tax</t>
  </si>
  <si>
    <t>Computer services</t>
  </si>
  <si>
    <t>6280-44 TeleForm Desktop Suite Maintenance</t>
  </si>
  <si>
    <t xml:space="preserve">6280-30 williamsontaxes.com			</t>
  </si>
  <si>
    <t xml:space="preserve">6280-30 williamsontaxes.org			</t>
  </si>
  <si>
    <t xml:space="preserve">6280-30 williamsontaxinfo.com			</t>
  </si>
  <si>
    <t xml:space="preserve">6280-30 williamsontaxinfo.org			</t>
  </si>
  <si>
    <t xml:space="preserve">6280-30 williamsonpropertytaxes.com			</t>
  </si>
  <si>
    <t xml:space="preserve">6280-30 williamsonpropertytaxes.org			</t>
  </si>
  <si>
    <t xml:space="preserve">6280-30 williamsoncountytaxtrates.com			</t>
  </si>
  <si>
    <t xml:space="preserve">6280-30 williamsoncountytaxtrates.org			</t>
  </si>
  <si>
    <t xml:space="preserve">6280-30 Renewal of WCADONLINE.ORG			  Order Number: 929683623		</t>
  </si>
  <si>
    <t>Check</t>
  </si>
  <si>
    <t>008-002</t>
  </si>
  <si>
    <t>3G8AG63-AF8</t>
  </si>
  <si>
    <t>171081</t>
  </si>
  <si>
    <t>008-003</t>
  </si>
  <si>
    <t>201930191</t>
  </si>
  <si>
    <t>6283-2657</t>
  </si>
  <si>
    <t>008-004</t>
  </si>
  <si>
    <t>Just Appraised Inc</t>
  </si>
  <si>
    <t>Payroll Fee</t>
  </si>
  <si>
    <t>Trusted Tech Team</t>
  </si>
  <si>
    <t>Kutools</t>
  </si>
  <si>
    <t>ZOHO Corp</t>
  </si>
  <si>
    <t>PaperCut.com</t>
  </si>
  <si>
    <t>Sperry Software, Inc</t>
  </si>
  <si>
    <t>AutoMox</t>
  </si>
  <si>
    <t>6285-14 - Office 365</t>
  </si>
  <si>
    <t xml:space="preserve">6285-1 Acrobat one user yearly license 			  </t>
  </si>
  <si>
    <t>6285-10 Kutools for Excel Add on</t>
  </si>
  <si>
    <t>6285-10 - Computer Services</t>
  </si>
  <si>
    <t xml:space="preserve">6285-10 Papercut NG upgrade to 18.3 from 16 + Papcut NG Upgrade Assurance, and Support 1year 		</t>
  </si>
  <si>
    <t>6285-1 - Computer licenses - 7 licenses</t>
  </si>
  <si>
    <t>6285-10 - Software for ARL</t>
  </si>
  <si>
    <t>6285-4 - Payroll fee</t>
  </si>
  <si>
    <t>6285-2 - annual renewal</t>
  </si>
  <si>
    <t>6285-18 - computer licenses</t>
  </si>
  <si>
    <t>6285-5 - Subscription</t>
  </si>
  <si>
    <t>Irv Barenblat</t>
  </si>
  <si>
    <t>Sylvia Burgin</t>
  </si>
  <si>
    <t>Allan Davis</t>
  </si>
  <si>
    <t>James L. Dunham</t>
  </si>
  <si>
    <t>Carol Frey</t>
  </si>
  <si>
    <t>Sandra George</t>
  </si>
  <si>
    <t>Thomas A. Glab</t>
  </si>
  <si>
    <t>James J. Greene</t>
  </si>
  <si>
    <t>Diane Ham</t>
  </si>
  <si>
    <t>David Hubbell</t>
  </si>
  <si>
    <t>Jose Orta</t>
  </si>
  <si>
    <t>David Paul</t>
  </si>
  <si>
    <t>Joe Pondrom</t>
  </si>
  <si>
    <t>Jane Schwartz</t>
  </si>
  <si>
    <t>Chrystle Swain</t>
  </si>
  <si>
    <t>David Werner</t>
  </si>
  <si>
    <t>6310-3 -  ARB Comptroller Training - February 2019</t>
  </si>
  <si>
    <t>6310-4 -  ARB Comptroller Training - February 2019</t>
  </si>
  <si>
    <t>6310-4 - ARB Comptroller Training - February 2019</t>
  </si>
  <si>
    <t>6310-6 - Chairperson pay</t>
  </si>
  <si>
    <t>6310-2 - ARB Comptroller Training - February 2019</t>
  </si>
  <si>
    <t>6310-1 - ARB Comptroller Training - February 2019</t>
  </si>
  <si>
    <t>6310-3 - ARB Comptroller Training - February 2019</t>
  </si>
  <si>
    <t>6310-5 - ARB Comptroller Training - February 2019</t>
  </si>
  <si>
    <t>6310-1 - ARB Comptroller Training - February 2019 - reimbursement meals &amp; mileage</t>
  </si>
  <si>
    <t>76353</t>
  </si>
  <si>
    <t>76475</t>
  </si>
  <si>
    <t>6320-1 - ARB name plates (George, Schwartz, Werner)</t>
  </si>
  <si>
    <t>6320-1 - ARB name plates - ARB Chair, Vice Chair</t>
  </si>
  <si>
    <t>training.2019</t>
  </si>
  <si>
    <t>Texas Comptroller of Public Accounts</t>
  </si>
  <si>
    <t>6340-1 - ARB Training</t>
  </si>
  <si>
    <t>6340-2 - ARB Training</t>
  </si>
  <si>
    <t>6340-1 -  ARB Comptroller Training - February 2019 - reimbursement meals &amp; mileage</t>
  </si>
  <si>
    <t>6340-2 -  ARB Comptroller Training - February 2019 - reimbursement meals &amp; mileage</t>
  </si>
  <si>
    <t>6340-1 - ARB Comptroller Training - February 2019 - reimbursement meals &amp; mileage</t>
  </si>
  <si>
    <t>6340-1 -  ARB Comptroller Training - February 2019 - reimbursement mileage</t>
  </si>
  <si>
    <t>6340-2 -  ARB Comptroller Training - February 2019 - reimbursement mileage</t>
  </si>
  <si>
    <t>6340-1 -  ARB Comptroller Training - February 2019 - reimbursement meals</t>
  </si>
  <si>
    <t>6340-2 -  ARB Comptroller Training - February 2019 - reimbursement meals</t>
  </si>
  <si>
    <t>6340-2 - ARB Comptroller Training - February 2019 - reimbursement meals &amp; mileage</t>
  </si>
  <si>
    <t>6340-2 - ARB Comptroller Training - February 2019 - reimbursement mileage</t>
  </si>
  <si>
    <t>Armstrong &amp; Armstrong</t>
  </si>
  <si>
    <t>6350-1 - Retainer services for ARB legal services</t>
  </si>
  <si>
    <t>279216712001</t>
  </si>
  <si>
    <t>279217209001</t>
  </si>
  <si>
    <t>1004269</t>
  </si>
  <si>
    <t>8014641</t>
  </si>
  <si>
    <t>7127413</t>
  </si>
  <si>
    <t>3679466</t>
  </si>
  <si>
    <t>286940011001</t>
  </si>
  <si>
    <t>287002289001</t>
  </si>
  <si>
    <t>1495</t>
  </si>
  <si>
    <t>77241</t>
  </si>
  <si>
    <t>7136224</t>
  </si>
  <si>
    <t>596248</t>
  </si>
  <si>
    <t>9042631</t>
  </si>
  <si>
    <t>6442607</t>
  </si>
  <si>
    <t>291326175001</t>
  </si>
  <si>
    <t>77327</t>
  </si>
  <si>
    <t>291750428001</t>
  </si>
  <si>
    <t>77362</t>
  </si>
  <si>
    <t>77354</t>
  </si>
  <si>
    <t>77353</t>
  </si>
  <si>
    <t>293442847001</t>
  </si>
  <si>
    <t>0989039</t>
  </si>
  <si>
    <t>295861343001</t>
  </si>
  <si>
    <t>296064793001</t>
  </si>
  <si>
    <t>8247415</t>
  </si>
  <si>
    <t>Patriot Supply Company</t>
  </si>
  <si>
    <t xml:space="preserve">6110-9 010047 5x8 United States PolyTex with reinforced corners and vertical stitching			</t>
  </si>
  <si>
    <t xml:space="preserve">6110-9 022343 5x8 Texas Flag PolyTex with reinforced corners and vertical stitching			  </t>
  </si>
  <si>
    <t>6110-12 - Office supplies - Business Cards - ABayler</t>
  </si>
  <si>
    <t>6110-12 Office Supplies</t>
  </si>
  <si>
    <t>6110-12 - Office supplies ~ undelivered items refunded &amp; reordered</t>
  </si>
  <si>
    <t>6110-12 - Office supplies ~ undelivered items refunded</t>
  </si>
  <si>
    <t>6110-12  Magicard YMCKO Color Ribbon, 300 prints (MA300YMCKO)</t>
  </si>
  <si>
    <t>6110-12 - Office supplies - Business Cards - VLongstreth</t>
  </si>
  <si>
    <t>6110-12 - Office supplies - Business Cards - AGarland</t>
  </si>
  <si>
    <t>6110-12 Office Supplies Return</t>
  </si>
  <si>
    <t>23995</t>
  </si>
  <si>
    <t>24088</t>
  </si>
  <si>
    <t>NeoFunds by Neopost</t>
  </si>
  <si>
    <t>6120-15 - postage</t>
  </si>
  <si>
    <t>6120-8 - UPS - overnight proof</t>
  </si>
  <si>
    <t>6120-8 - UPS</t>
  </si>
  <si>
    <t>6120-8 - freight</t>
  </si>
  <si>
    <t>77111</t>
  </si>
  <si>
    <t>37880</t>
  </si>
  <si>
    <t>6130-19 - Survey cards - 3,000</t>
  </si>
  <si>
    <t>6130-13 - #10 window 2,500</t>
  </si>
  <si>
    <t>6130-20 - Set up charge</t>
  </si>
  <si>
    <t>6130-20 - 20 x 5, 4/4, folded to 5x5 - 3,000</t>
  </si>
  <si>
    <t>6130-5 - remedies - 12,500</t>
  </si>
  <si>
    <t>28114</t>
  </si>
  <si>
    <t>Stratus Building Solutions of Austin</t>
  </si>
  <si>
    <t>6140-1 Janitorial Supplies</t>
  </si>
  <si>
    <t>9714653</t>
  </si>
  <si>
    <t>6150-9 Plantronics CS530 Wireless Headset (New) Part: 86305-01    ASIN: B0082DCPQ4</t>
  </si>
  <si>
    <t>6150-9 Plantronics CS530 Wireless Headset (Referb) ASIN: B07GL513XH</t>
  </si>
  <si>
    <t>6150-9 Plantronics EHS Cable APP-51 Model: 38439-11   ASIN: B007IP8NNQ</t>
  </si>
  <si>
    <t xml:space="preserve">6150-9 Plantronics Fit Kit - 3 Earloop &amp; 3 Eartips Model: 4330244142   ASIN: B010EXW7FI	</t>
  </si>
  <si>
    <t>6150-12 Plantronics CS Series AC Adapter			  Model: 80090-05    ASIN: B004LB5ALS</t>
  </si>
  <si>
    <t>6150-12 Battery for Plantronics CS540 Headset			  Model: 86180-01    ASIN: B00K3XFFOK</t>
  </si>
  <si>
    <t>6150-12 Corded Noise Cancelling Headset			  Model: M809DGQD002   ASIN: B075K3724X</t>
  </si>
  <si>
    <t xml:space="preserve">6150-12 USB Card Reader			  Model: ERCRYSTO   ASIN: B072R4M3VQ	</t>
  </si>
  <si>
    <t>6150-12 Promotional Discount</t>
  </si>
  <si>
    <t>159357</t>
  </si>
  <si>
    <t>28AR147078</t>
  </si>
  <si>
    <t>ebay.com</t>
  </si>
  <si>
    <t>Computer supplies</t>
  </si>
  <si>
    <t>6160-10 Power  Supply for Cisco 4948e</t>
  </si>
  <si>
    <t>6160-3 - computer supplies</t>
  </si>
  <si>
    <t>02.2018</t>
  </si>
  <si>
    <t>R1396053249</t>
  </si>
  <si>
    <t>5354996</t>
  </si>
  <si>
    <t>40300</t>
  </si>
  <si>
    <t>535498</t>
  </si>
  <si>
    <t>2155</t>
  </si>
  <si>
    <t>F7N7V1</t>
  </si>
  <si>
    <t>02021J</t>
  </si>
  <si>
    <t>renewal.19.AJS</t>
  </si>
  <si>
    <t>notary.DS.2019</t>
  </si>
  <si>
    <t>02899J</t>
  </si>
  <si>
    <t>02865J</t>
  </si>
  <si>
    <t>0127</t>
  </si>
  <si>
    <t>04.2019</t>
  </si>
  <si>
    <t>renewal.19.RAQ</t>
  </si>
  <si>
    <t>renewal.19.CJK</t>
  </si>
  <si>
    <t>Amanda Bayler</t>
  </si>
  <si>
    <t>Lou Ann Perez</t>
  </si>
  <si>
    <t>Jennifer Usmani 1</t>
  </si>
  <si>
    <t>Candace Manas</t>
  </si>
  <si>
    <t>Marriott</t>
  </si>
  <si>
    <t>Gilberto Garcia 1</t>
  </si>
  <si>
    <t>Kimberly R Gamboa</t>
  </si>
  <si>
    <t>Chick-fil-a</t>
  </si>
  <si>
    <t>TAAD-IAAO Chapter</t>
  </si>
  <si>
    <t>KC McDade</t>
  </si>
  <si>
    <t>Victoria Purser</t>
  </si>
  <si>
    <t>McAlister's</t>
  </si>
  <si>
    <t>Notary Public Underwriting</t>
  </si>
  <si>
    <t>Aaron Moore</t>
  </si>
  <si>
    <t>Christopher Ryan Meyer</t>
  </si>
  <si>
    <t>6210-20 - Comptroller Training - reimbursement meals</t>
  </si>
  <si>
    <t>6210-20 - Comptroller Training - reimbursement meals &amp; mileage</t>
  </si>
  <si>
    <t>6210-29 - cancellation service fee</t>
  </si>
  <si>
    <t>6210-23 - TAAD Conf - reimbursement mileage</t>
  </si>
  <si>
    <t>6210-20 - valuation luncheon mtg - commercial dept</t>
  </si>
  <si>
    <t>6210-13 - BMorrison</t>
  </si>
  <si>
    <t>6210-13 - RMeyer</t>
  </si>
  <si>
    <t>6210-7 - GIS/CAMA Conference Reimbursement meals, lodging</t>
  </si>
  <si>
    <t>6210-28 - USPAP Refresher - JGriner</t>
  </si>
  <si>
    <t>6210-28 - USPAP Refresher - CPark</t>
  </si>
  <si>
    <t>6210-28 - Ethics Seminar - CKurth</t>
  </si>
  <si>
    <t>6210-8 - HR - Cram for the exam boot-camp registration - KGamboa</t>
  </si>
  <si>
    <t>6210-8 - registration &amp; application fee for exam - KGamboa</t>
  </si>
  <si>
    <t>6210-8 - HR mgmt training lunch</t>
  </si>
  <si>
    <t>6210-33 - License renewal - AStenulson</t>
  </si>
  <si>
    <t>6210-21 - Notary licenses &amp; supplies - DSimpson</t>
  </si>
  <si>
    <t>6210-28 - TAAD Course - reimbursement meals</t>
  </si>
  <si>
    <t>6210-4 - spring fling</t>
  </si>
  <si>
    <t>6210-7 - GIS/CAMA Conference - reimbursement hotel, transportation, meals</t>
  </si>
  <si>
    <t>6210-8 - HR Training for mgmt - interview trainging &amp; harrassment training</t>
  </si>
  <si>
    <t>6210-13 IAAO Seminar Reimbursement ~ mileage / meals / hotel</t>
  </si>
  <si>
    <t>6210-33 - License renewal - RQuinlan</t>
  </si>
  <si>
    <t>6210-13 IAAO Seminar Reimbursement ~ mileage / meals</t>
  </si>
  <si>
    <t>6210-33 - License renewal - CKurth</t>
  </si>
  <si>
    <t>28AR144963</t>
  </si>
  <si>
    <t>N7626658</t>
  </si>
  <si>
    <t>24432083</t>
  </si>
  <si>
    <t>28ar150008</t>
  </si>
  <si>
    <t>6215-1 - click chrgs overage</t>
  </si>
  <si>
    <t>0365937030119</t>
  </si>
  <si>
    <t>02.19.2019</t>
  </si>
  <si>
    <t>9825902255</t>
  </si>
  <si>
    <t>7990076691902</t>
  </si>
  <si>
    <t>031919</t>
  </si>
  <si>
    <t>2787230258338x032719</t>
  </si>
  <si>
    <t>I2019040101395</t>
  </si>
  <si>
    <t>0104757012719</t>
  </si>
  <si>
    <t>0104757022819</t>
  </si>
  <si>
    <t>03262019</t>
  </si>
  <si>
    <t>03282019</t>
  </si>
  <si>
    <t>7990076691903</t>
  </si>
  <si>
    <t>04292019</t>
  </si>
  <si>
    <t>03192019</t>
  </si>
  <si>
    <t>6220-5 - LDC - February 2019</t>
  </si>
  <si>
    <t>6220-5 - LDC - March 2019</t>
  </si>
  <si>
    <t>189542-02</t>
  </si>
  <si>
    <t>4011072</t>
  </si>
  <si>
    <t>21612</t>
  </si>
  <si>
    <t>21688</t>
  </si>
  <si>
    <t>01916J</t>
  </si>
  <si>
    <t>191004-112</t>
  </si>
  <si>
    <t>1083</t>
  </si>
  <si>
    <t>27946</t>
  </si>
  <si>
    <t>27945</t>
  </si>
  <si>
    <t>43170</t>
  </si>
  <si>
    <t>SRVCE00262454</t>
  </si>
  <si>
    <t>AUS39892</t>
  </si>
  <si>
    <t>SCPAY00117926</t>
  </si>
  <si>
    <t>21823</t>
  </si>
  <si>
    <t>04052019</t>
  </si>
  <si>
    <t>199501-057</t>
  </si>
  <si>
    <t>199504-074</t>
  </si>
  <si>
    <t>1904</t>
  </si>
  <si>
    <t>Home Depot</t>
  </si>
  <si>
    <t>Floor Covering International Austin</t>
  </si>
  <si>
    <t>Northstar Fire Protection of Texas, Inc</t>
  </si>
  <si>
    <t>CCR Commercial Roofing LLC</t>
  </si>
  <si>
    <t>Painting with Purpose</t>
  </si>
  <si>
    <t>Expansion Joint Solutions</t>
  </si>
  <si>
    <t xml:space="preserve">6225-17 Great Stuff Fireblock			</t>
  </si>
  <si>
    <t xml:space="preserve">6225-17 3m fireblock		</t>
  </si>
  <si>
    <t xml:space="preserve">6225-17 10ct gloves	</t>
  </si>
  <si>
    <t>6225-17 WallClaw #25</t>
  </si>
  <si>
    <t>6225-17 Caulk Gun 10oz</t>
  </si>
  <si>
    <t>6225-18 - installation of mulch in beds &amp; tree wells</t>
  </si>
  <si>
    <t>1/2 pymt</t>
  </si>
  <si>
    <t>6225-16 - EL500 Blue Flooring</t>
  </si>
  <si>
    <t>6225-16 - Labor &amp; Parts to install flooring</t>
  </si>
  <si>
    <t>6225-11 - annual fire sprinkler inspection</t>
  </si>
  <si>
    <t>6225-6 - Janitorial services - April 2019</t>
  </si>
  <si>
    <t>6225-6 - Janitorial Services - March (prorated 03/14-31/2019)</t>
  </si>
  <si>
    <t>6225-24 - Water Soluble Dye</t>
  </si>
  <si>
    <t>6225-6 - Janitorial services - April 2019 (prorated 04/01-13/2019)</t>
  </si>
  <si>
    <t>Floor covering - kids area</t>
  </si>
  <si>
    <t>6225-16 - handyman services</t>
  </si>
  <si>
    <t>6225-11 annual fire alarm inspection</t>
  </si>
  <si>
    <t xml:space="preserve">6225-16 Joint Demp &amp; Prep - Redwood Solid (Qty in feet)			</t>
  </si>
  <si>
    <t>6225-16 Joint Filler - Sidewalk to Front Door (Qty in feet)</t>
  </si>
  <si>
    <t>Harry Gibbs</t>
  </si>
  <si>
    <t>6236-1 - mileage reimbursement</t>
  </si>
  <si>
    <t>74463</t>
  </si>
  <si>
    <t>2018</t>
  </si>
  <si>
    <t>8814</t>
  </si>
  <si>
    <t>109121132-1</t>
  </si>
  <si>
    <t>19-36</t>
  </si>
  <si>
    <t>BOMA International</t>
  </si>
  <si>
    <t>Automotive News</t>
  </si>
  <si>
    <t>Real Estate Center</t>
  </si>
  <si>
    <t>Realty Rates</t>
  </si>
  <si>
    <t>Capitol Market Research, Inc.</t>
  </si>
  <si>
    <t>6240-6 - publication</t>
  </si>
  <si>
    <t>6240-26 - RERC Real Estate Report - 2010 to current - single issue - 2018 / 4Q - PDF download</t>
  </si>
  <si>
    <t>6240-27 - Realty Rates Investor &amp; Market Survey</t>
  </si>
  <si>
    <t>6240-8 - Austin area retail survey - December 2018</t>
  </si>
  <si>
    <t>TX02-18-1125-000</t>
  </si>
  <si>
    <t>TX02-18-1125-001</t>
  </si>
  <si>
    <t>20436</t>
  </si>
  <si>
    <t>03052019</t>
  </si>
  <si>
    <t>01.31.2019</t>
  </si>
  <si>
    <t>P460367-2018</t>
  </si>
  <si>
    <t>R021363-2018</t>
  </si>
  <si>
    <t>P477067-2018</t>
  </si>
  <si>
    <t>P432673-2018</t>
  </si>
  <si>
    <t>P459530-2018</t>
  </si>
  <si>
    <t>US417993</t>
  </si>
  <si>
    <t>19-12536</t>
  </si>
  <si>
    <t>US418014</t>
  </si>
  <si>
    <t>2019.18</t>
  </si>
  <si>
    <t>1092</t>
  </si>
  <si>
    <t>20736</t>
  </si>
  <si>
    <t>1216</t>
  </si>
  <si>
    <t>1.2019</t>
  </si>
  <si>
    <t>0123</t>
  </si>
  <si>
    <t>58899</t>
  </si>
  <si>
    <t>529114</t>
  </si>
  <si>
    <t>R075020</t>
  </si>
  <si>
    <t>23125041719</t>
  </si>
  <si>
    <t>Valbridge Property Advisors</t>
  </si>
  <si>
    <t>Rudy R Robinson III</t>
  </si>
  <si>
    <t>Leonard Schwartz</t>
  </si>
  <si>
    <t>Paul Hornsby &amp; Company</t>
  </si>
  <si>
    <t>CycloMedia Technology, Inc.</t>
  </si>
  <si>
    <t>Capitol Appraisal Group, LLC</t>
  </si>
  <si>
    <t>Lexitas</t>
  </si>
  <si>
    <t>Central Texas Shredding Inc.</t>
  </si>
  <si>
    <t>6260-10 - Expert 2016 Appraisal - R524192 - Anatole @ Westinghouse Apt</t>
  </si>
  <si>
    <t>6260-10 - Expert 2017 Appraisal - R524192 - Anatole @ Westinghouse Apt</t>
  </si>
  <si>
    <t>6260-10 - Mediation - Inland American Austin Walden Park LLC</t>
  </si>
  <si>
    <t>6260-2 -Arbitration 246-18-A18045 - Autozone P322915 - TY 2018</t>
  </si>
  <si>
    <t>6260-2 -Arbitration 246-18-A18048 - Autozone P384096 - TY 2018</t>
  </si>
  <si>
    <t>6260-2 - Arbitration 246-18-A18056 - Great Oaks Dentistry P454421 - TY 2018</t>
  </si>
  <si>
    <t>6260-2 -Binding Arbitration - 246-18-A18044 - Autozone P460367</t>
  </si>
  <si>
    <t>6260-2 - Binding Arbitration - 246-18-A18038 - Bouzek, Michelle R021363</t>
  </si>
  <si>
    <t>6260-2 -Binding Arbitration - 246-18-A18050 - Autozone P477067</t>
  </si>
  <si>
    <t>6260-2 - Binding Arbitration - 246-18-A18030 - Speedy Stop P432673</t>
  </si>
  <si>
    <t>6260-2 -Binding Arbitration - 246-18-A18052 - Autozone P459530</t>
  </si>
  <si>
    <t>6260-6 - Change finder</t>
  </si>
  <si>
    <t>6260-6 - change finder project fee</t>
  </si>
  <si>
    <t>6260-10 - Experts - 2015 Mkt Report - LaFrontera Shopping Center</t>
  </si>
  <si>
    <t>6260-10 - Experts - 2017 Mkt Report - LaFrontera Shopping Center</t>
  </si>
  <si>
    <t>6260-11 - appraisal services</t>
  </si>
  <si>
    <t>6260-10 - HR attorney - TWC hearing - ARB member</t>
  </si>
  <si>
    <t>6260-10 - HR attorney - Drafting proposed bill on ARB members</t>
  </si>
  <si>
    <t>6260-10 - professional services -February Expenses</t>
  </si>
  <si>
    <t>6260-10 - Deposition - Cause #16-0823-C425 - CN Westinghouse Pointe Apts - Nathan Riley</t>
  </si>
  <si>
    <t>6260-2 - Binding Arbitration - 246-18-A18058 - Springwoods Retail LLC - R075020</t>
  </si>
  <si>
    <t>2018-560-1B</t>
  </si>
  <si>
    <t>113070</t>
  </si>
  <si>
    <t>D52780M-I205002</t>
  </si>
  <si>
    <t>28AR146071</t>
  </si>
  <si>
    <t>Park Place Technologies</t>
  </si>
  <si>
    <t>6280-40 - software maintenance</t>
  </si>
  <si>
    <t>6280-43 - portico maintenance - web hosting</t>
  </si>
  <si>
    <t>6280-11 - 24x7x4 Cisco Warranty,  This will provide 4 Hour response to all Cisco Equipment they ...</t>
  </si>
  <si>
    <t>33555</t>
  </si>
  <si>
    <t>20007792642</t>
  </si>
  <si>
    <t>008-005</t>
  </si>
  <si>
    <t>6285-4 - payroll fee</t>
  </si>
  <si>
    <t>6285-10 SQL 2016 Standard + 5 Users Cals</t>
  </si>
  <si>
    <t xml:space="preserve">6285-18 zoho (replacing zendesk)			  </t>
  </si>
  <si>
    <t>6285-4 payroll fee</t>
  </si>
  <si>
    <t>6310-3 - ARB Meeting - March 2019</t>
  </si>
  <si>
    <t>6310-2 - ARB Meeting - March 2019</t>
  </si>
  <si>
    <t>6310-5 - ARB Meeting - March 2019</t>
  </si>
  <si>
    <t>6310-4 - ARB Meeting - March 2019</t>
  </si>
  <si>
    <t>6320-1 - supplies</t>
  </si>
  <si>
    <t>R27383</t>
  </si>
  <si>
    <t>R41460</t>
  </si>
  <si>
    <t>R4663902</t>
  </si>
  <si>
    <t>R69778</t>
  </si>
  <si>
    <t>Banc of America Leasing</t>
  </si>
  <si>
    <t>28AR151652</t>
  </si>
  <si>
    <t>6810-1 - bldg pymt</t>
  </si>
  <si>
    <t>77815</t>
  </si>
  <si>
    <t>0010729</t>
  </si>
  <si>
    <t>IMS - Postage</t>
  </si>
  <si>
    <t>6120-1 Postage for NAV 2019</t>
  </si>
  <si>
    <t>77871</t>
  </si>
  <si>
    <t>25328</t>
  </si>
  <si>
    <t>6130-8 CASS &amp; PAV</t>
  </si>
  <si>
    <t>6130-1 Laser Printing - NAV, Protest Form &amp; Variable HS Forms</t>
  </si>
  <si>
    <t>6130-5 Rights &amp; Remedies</t>
  </si>
  <si>
    <t>6130-6 3630 Green 1/3 Inserts</t>
  </si>
  <si>
    <t>6130-7 Mailing Sercices - Preparation</t>
  </si>
  <si>
    <t>6130-4 #10 Envelopes</t>
  </si>
  <si>
    <t>6130-9 Flats</t>
  </si>
  <si>
    <t>6130-1 Minimum Charge (557) ~ 4 @ $50</t>
  </si>
  <si>
    <t>6130-3 Shipping &amp; Freight</t>
  </si>
  <si>
    <t>NZ76CL</t>
  </si>
  <si>
    <t>00790J</t>
  </si>
  <si>
    <t>00896J</t>
  </si>
  <si>
    <t>040819</t>
  </si>
  <si>
    <t>04082019</t>
  </si>
  <si>
    <t>1000KE</t>
  </si>
  <si>
    <t>1000GG</t>
  </si>
  <si>
    <t>100KL</t>
  </si>
  <si>
    <t>1000KL</t>
  </si>
  <si>
    <t>AP01027J</t>
  </si>
  <si>
    <t>04102019</t>
  </si>
  <si>
    <t>renewal.19.DWD</t>
  </si>
  <si>
    <t>Cricket's Grill</t>
  </si>
  <si>
    <t>Niwa Japanese BBQ</t>
  </si>
  <si>
    <t>Lorenzo Hotel</t>
  </si>
  <si>
    <t>El Fenix Waxahachie</t>
  </si>
  <si>
    <t>Colleen McElroy</t>
  </si>
  <si>
    <t>6210-19 - Travel to Dallas - TAAD Exec Com Mtg</t>
  </si>
  <si>
    <t>6210-35 Tyler Connect Lunch (ARL, CBC, JM)</t>
  </si>
  <si>
    <t>6210-35 Tyler Connect Meal (ARL, CBC, JM)</t>
  </si>
  <si>
    <t>6210-35 Tyler Connect Hotel ~ CConnelly</t>
  </si>
  <si>
    <t>6210-35 Tyler Connect Hotel ~ JMiller</t>
  </si>
  <si>
    <t>6210-35 Tyler Connect Hotel ~ ALankford</t>
  </si>
  <si>
    <t>6210-35 Tyler Connect Hotel ~  ALankford</t>
  </si>
  <si>
    <t>6210-35 Tyler Connect Lunch ~ ARL, CBC, JM</t>
  </si>
  <si>
    <t>6210-4 Spring Fling Supplies ~ Easter Bunny Head</t>
  </si>
  <si>
    <t>6210-18 Chris Connelly</t>
  </si>
  <si>
    <t>6210-18 David Daniell</t>
  </si>
  <si>
    <t>6210-18 James Griner</t>
  </si>
  <si>
    <t>6210-18 Alvin Lankford</t>
  </si>
  <si>
    <t>6210-18 KC McDade</t>
  </si>
  <si>
    <t>6210-18 Pam Metcalfe</t>
  </si>
  <si>
    <t>6210-18 Aaron Moore</t>
  </si>
  <si>
    <t>6210-18 Richard Quinlan</t>
  </si>
  <si>
    <t>6210-18 Aaron Stenulson</t>
  </si>
  <si>
    <t>6210-18 Amy Urbanek</t>
  </si>
  <si>
    <t>6210-18 Jessica Miller</t>
  </si>
  <si>
    <t>6210-33 - License renewal - DDaniell</t>
  </si>
  <si>
    <t>6210-18 Stephanie Heatley-Duggger</t>
  </si>
  <si>
    <t>6210-35 - Tyler Connect Conference - uber</t>
  </si>
  <si>
    <t>24614208</t>
  </si>
  <si>
    <t>0365937041019</t>
  </si>
  <si>
    <t>04182019</t>
  </si>
  <si>
    <t>2787230258338x042719</t>
  </si>
  <si>
    <t>041919</t>
  </si>
  <si>
    <t>I2019050101391</t>
  </si>
  <si>
    <t>28430</t>
  </si>
  <si>
    <t>8100928</t>
  </si>
  <si>
    <t>190348</t>
  </si>
  <si>
    <t>28399</t>
  </si>
  <si>
    <t>Georgetown Fire and Safety</t>
  </si>
  <si>
    <t>6225-20 Power Washing</t>
  </si>
  <si>
    <t>6225-23 Strip &amp; Refinish VCT floors</t>
  </si>
  <si>
    <t>6225-23 Scrub Tile</t>
  </si>
  <si>
    <t>6225-5 Carpet Cleaning</t>
  </si>
  <si>
    <t>6225-22 Alarm Monitoring</t>
  </si>
  <si>
    <t>6225-11 Annual Fire Extinguisher Inspections</t>
  </si>
  <si>
    <t>6225-6 - Janitorial services - May 2019</t>
  </si>
  <si>
    <t>05.2019</t>
  </si>
  <si>
    <t>19-25</t>
  </si>
  <si>
    <t>69772152</t>
  </si>
  <si>
    <t>4717</t>
  </si>
  <si>
    <t>Hill Country News</t>
  </si>
  <si>
    <t>6240-8 - Austin area apartment survey - December 2019</t>
  </si>
  <si>
    <t>6240-7 Developing, Leasing and Managing Healthcare Facilities in an Evolving Healthcare Environment</t>
  </si>
  <si>
    <t>6240-1 -Aircraft blue book</t>
  </si>
  <si>
    <t>6240-10 Appeals Procedures Ad - 2019</t>
  </si>
  <si>
    <t>EI00806716</t>
  </si>
  <si>
    <t>19-12566</t>
  </si>
  <si>
    <t>1097</t>
  </si>
  <si>
    <t>5969</t>
  </si>
  <si>
    <t>TX02-18-1125-002</t>
  </si>
  <si>
    <t>12828</t>
  </si>
  <si>
    <t>Eide Bailly LLP</t>
  </si>
  <si>
    <t>Concentric Aviation, LLC</t>
  </si>
  <si>
    <t>6260-1 audit 2018</t>
  </si>
  <si>
    <t>6260-10 - Experts - Baltgem (La Frontera) - Trial Prep</t>
  </si>
  <si>
    <t>6260-10 - professional services -March Expenses</t>
  </si>
  <si>
    <t>6260-10 - Expert 2018 Appraisal - R524192 - Anatole @ Westinghouse Apt</t>
  </si>
  <si>
    <t>6260-10 - expert - Cessna Conquest 441-0160 N47JR</t>
  </si>
  <si>
    <t>Deposit</t>
  </si>
  <si>
    <t>20699</t>
  </si>
  <si>
    <t>Emergent Systems Exchange (ESX)</t>
  </si>
  <si>
    <t>6280-58 - refund overpaid</t>
  </si>
  <si>
    <t>73626198317</t>
  </si>
  <si>
    <t>Nitro Software, Inc</t>
  </si>
  <si>
    <t>6285-15 Nitro Pro 12  Single User Perpetual License</t>
  </si>
  <si>
    <t>6310-3 - ARB Meeting - April 2019</t>
  </si>
  <si>
    <t>6310-4 ARB Meeting - April 2019</t>
  </si>
  <si>
    <t>6310-3 ARB Meeting - April 2019</t>
  </si>
  <si>
    <t>6310-2 ARB Meeting - April 2019</t>
  </si>
  <si>
    <t>6310-5 ARB Meeting - April 2019</t>
  </si>
  <si>
    <t>050219</t>
  </si>
  <si>
    <t>6320-1 2 Code books</t>
  </si>
  <si>
    <t>576197</t>
  </si>
  <si>
    <t>Print Management Partners</t>
  </si>
  <si>
    <t xml:space="preserve">6330-3  LWE-695-WCAD - 6x9.5 Envelopes (1000)			</t>
  </si>
  <si>
    <t>6330-3 Freight</t>
  </si>
  <si>
    <t>R38917</t>
  </si>
  <si>
    <t>8010-5 Vmware Production Support Vsphere 6 Essentials Plus Kit for 3 hosts 1 Year</t>
  </si>
  <si>
    <t>Assigned Funds - GeoCyclorama</t>
  </si>
  <si>
    <t>Assigned Funds Cyclomedia Streetview in GIS Maps</t>
  </si>
  <si>
    <t>Assigned Funds - CAMA Reserves - MRA Project - Qtrly installments</t>
  </si>
  <si>
    <t>4977011</t>
  </si>
  <si>
    <t>5670608</t>
  </si>
  <si>
    <t>9219408</t>
  </si>
  <si>
    <t>2544250</t>
  </si>
  <si>
    <t>306895535001</t>
  </si>
  <si>
    <t>7665006</t>
  </si>
  <si>
    <t>310428571001</t>
  </si>
  <si>
    <t>6110-12  AGarland Name Stamp</t>
  </si>
  <si>
    <t>28489</t>
  </si>
  <si>
    <t>28551</t>
  </si>
  <si>
    <t>1730650</t>
  </si>
  <si>
    <t>07746T10A</t>
  </si>
  <si>
    <t>TOPS</t>
  </si>
  <si>
    <t>6150-9 Digium D65 Phone			  Model: 1TELD065LF_AC    ASIN: B01LYSWT6W</t>
  </si>
  <si>
    <t>6150-9 Logitech Wireless Mouse M525 - Red			  Model: 910-002697    ASIN: B005KSAOKI</t>
  </si>
  <si>
    <t xml:space="preserve">6150-13  Cherry U – Shape w/ hutch    			</t>
  </si>
  <si>
    <t>6150-13 Cherry U – Shape no hutch</t>
  </si>
  <si>
    <t xml:space="preserve">6150-13 Cherry 30” Bookcase               		</t>
  </si>
  <si>
    <t>6150-13 Cherry 71” Bookcases</t>
  </si>
  <si>
    <t xml:space="preserve">6150-13 Old Furniture Disposal                          		</t>
  </si>
  <si>
    <t>6150-13 Delivery</t>
  </si>
  <si>
    <t>renew.2019</t>
  </si>
  <si>
    <t>05022019</t>
  </si>
  <si>
    <t>132892</t>
  </si>
  <si>
    <t>09162019</t>
  </si>
  <si>
    <t>1015</t>
  </si>
  <si>
    <t>05072019</t>
  </si>
  <si>
    <t>07.2019</t>
  </si>
  <si>
    <t>B24971857</t>
  </si>
  <si>
    <t>08122019</t>
  </si>
  <si>
    <t>Survey Monkey.com</t>
  </si>
  <si>
    <t>Peached Tortilla</t>
  </si>
  <si>
    <t>TCDRS</t>
  </si>
  <si>
    <t>PSI</t>
  </si>
  <si>
    <t>Alicin McCloud</t>
  </si>
  <si>
    <t>Ad Valorem Legal Seminar</t>
  </si>
  <si>
    <t>6210-3 - subscription renewal</t>
  </si>
  <si>
    <t>6210-19 - TAAD Exec BOD mtg Dallas - parking</t>
  </si>
  <si>
    <t>6210-19 - TAAD Exec BOD mtg Dallas - breakfast</t>
  </si>
  <si>
    <t>6210-28 - Course 5 - KC McDade</t>
  </si>
  <si>
    <t>6210-28 - Course 5 - Jessica Miller</t>
  </si>
  <si>
    <t>6210-19 - TAAD Exec BOD mtg Dallas</t>
  </si>
  <si>
    <t>6210-32 - Kimberly Gamboa</t>
  </si>
  <si>
    <t>6210-32 - Amanda Sauls</t>
  </si>
  <si>
    <t>6210-34 - Exam Level III - BEdsell</t>
  </si>
  <si>
    <t>6210-28 - Course 10 - Amber Simpson</t>
  </si>
  <si>
    <t>6210-20 - reimbursement education - Code Academy</t>
  </si>
  <si>
    <t>6210-31 Lugo, Angie</t>
  </si>
  <si>
    <t>6210-31 Daniell, David</t>
  </si>
  <si>
    <t>N7706217</t>
  </si>
  <si>
    <t>28AR155419</t>
  </si>
  <si>
    <t>9827901773</t>
  </si>
  <si>
    <t>042819</t>
  </si>
  <si>
    <t>7990076691904</t>
  </si>
  <si>
    <t>04222019</t>
  </si>
  <si>
    <t>04192019</t>
  </si>
  <si>
    <t>050419</t>
  </si>
  <si>
    <t>0104757050719</t>
  </si>
  <si>
    <t>0365937051019</t>
  </si>
  <si>
    <t>6220-5 - LDC - April 2019</t>
  </si>
  <si>
    <t>41010</t>
  </si>
  <si>
    <t>43418</t>
  </si>
  <si>
    <t>SCPAY00118633</t>
  </si>
  <si>
    <t>6225-11 Replace 2nd floor powered supply batteries during inspection</t>
  </si>
  <si>
    <t>6225-17 Cordmate 3 kit</t>
  </si>
  <si>
    <t>6225-17 Cordmate 2 kit</t>
  </si>
  <si>
    <t>6225-16 Indoor/Outdoor Mat 16x24</t>
  </si>
  <si>
    <t>6225-24 - Water Column Clarifier (block)</t>
  </si>
  <si>
    <t>5482236</t>
  </si>
  <si>
    <t>01374C</t>
  </si>
  <si>
    <t>Monument Cafe</t>
  </si>
  <si>
    <t>6236-1 - board luncheon</t>
  </si>
  <si>
    <t>6236-1 - Board lunch mtg - RHoneycutt, JJewit, ARL</t>
  </si>
  <si>
    <t>3321053</t>
  </si>
  <si>
    <t>109300906-1</t>
  </si>
  <si>
    <t>National Appraisal Guides</t>
  </si>
  <si>
    <t>Marshall &amp; Swift/Boeckh</t>
  </si>
  <si>
    <t>6240-20 MH CONNECT for Used Homes - 1 year single user access - RENEWAL</t>
  </si>
  <si>
    <t>6240-18 - Commerical Estimator 7</t>
  </si>
  <si>
    <t>61809</t>
  </si>
  <si>
    <t>21146</t>
  </si>
  <si>
    <t>0148</t>
  </si>
  <si>
    <t>EI00828829</t>
  </si>
  <si>
    <t>STATCO</t>
  </si>
  <si>
    <t>6260-10 - HR attorney - TWC hearing - ARB member &amp; FMLA</t>
  </si>
  <si>
    <t>6260-17 - data entry services</t>
  </si>
  <si>
    <t>Not budgeted for 2019</t>
  </si>
  <si>
    <t>P1-49069294</t>
  </si>
  <si>
    <t>Intuit</t>
  </si>
  <si>
    <t>6280-28 - annual subscription</t>
  </si>
  <si>
    <t>20008195774</t>
  </si>
  <si>
    <t>2058973266</t>
  </si>
  <si>
    <t>008-006</t>
  </si>
  <si>
    <t>iStock by Getty Images</t>
  </si>
  <si>
    <t>6285-10 Stock Image # 466842290</t>
  </si>
  <si>
    <t>6285-10 tax</t>
  </si>
  <si>
    <t>Assigned funds - subscription</t>
  </si>
  <si>
    <t>6310-6 Chair pay</t>
  </si>
  <si>
    <t>6330-2 - postage</t>
  </si>
  <si>
    <t>3873052</t>
  </si>
  <si>
    <t>37968</t>
  </si>
  <si>
    <t>38996</t>
  </si>
  <si>
    <t xml:space="preserve">8010-2 Synology RX1217RP Expansion 			  </t>
  </si>
  <si>
    <t xml:space="preserve">8010-2 Synology M.2 Adapter Card			  </t>
  </si>
  <si>
    <t xml:space="preserve">8010-2 Synology sliding Rails 			</t>
  </si>
  <si>
    <t xml:space="preserve">8010-2 Seagate IronWolf 12tb Enterprise Drive 			</t>
  </si>
  <si>
    <t>8010-2 Samsung 970 Pro 1tb PCIe NVMe M.2</t>
  </si>
  <si>
    <t xml:space="preserve">8010-1 SQL 2017 Standard, with rights to downgrade to SQL2016 Includes 72 User CALS			</t>
  </si>
  <si>
    <t>Shredding Services</t>
  </si>
  <si>
    <t>312201504001</t>
  </si>
  <si>
    <t>0899420</t>
  </si>
  <si>
    <t>313879496001</t>
  </si>
  <si>
    <t>40419675968</t>
  </si>
  <si>
    <t>312657595001</t>
  </si>
  <si>
    <t>321379162001</t>
  </si>
  <si>
    <t>7161813</t>
  </si>
  <si>
    <t>78436</t>
  </si>
  <si>
    <t>328891616001</t>
  </si>
  <si>
    <t>Walmart</t>
  </si>
  <si>
    <t xml:space="preserve">6110-12 Kitchen Trash Can - Sterilite 13.2 Gal./50 L SwingTop Wastebasket, White			</t>
  </si>
  <si>
    <t>Office supplies</t>
  </si>
  <si>
    <t>6110-12 24PCS Furniture Sliders 2.5 Inch Felt Sliders Furniture Pads for Hardwood Floors and All...</t>
  </si>
  <si>
    <t xml:space="preserve">6110-12 SmartGlove Wrist Wrap, Small, Black			</t>
  </si>
  <si>
    <t>6110-13 - meter ink</t>
  </si>
  <si>
    <t>6110-12  - CS business cards</t>
  </si>
  <si>
    <t>6110-6 - Copy Paper</t>
  </si>
  <si>
    <t>6110-12 - Office Supplies</t>
  </si>
  <si>
    <t>24846</t>
  </si>
  <si>
    <t>24872</t>
  </si>
  <si>
    <t>24945</t>
  </si>
  <si>
    <t>25000</t>
  </si>
  <si>
    <t>25240</t>
  </si>
  <si>
    <t>25266</t>
  </si>
  <si>
    <t>6120-1 - Postage actual - 171</t>
  </si>
  <si>
    <t>6120-1 - Postage previously paid - 171</t>
  </si>
  <si>
    <t>6120-1 - postage - 7,180</t>
  </si>
  <si>
    <t>6120-1 - postage previously paid</t>
  </si>
  <si>
    <t>6120-1 - Postage actual - 10</t>
  </si>
  <si>
    <t>6120-1 - Postage previously paid - 10</t>
  </si>
  <si>
    <t>6120-1 - postage - 23</t>
  </si>
  <si>
    <t>6120-1 - postage prepaid</t>
  </si>
  <si>
    <t>6120-1 - postage - 1,287</t>
  </si>
  <si>
    <t>78455</t>
  </si>
  <si>
    <t>6130-1 - rendering - 171</t>
  </si>
  <si>
    <t>6130-4 - flats - 13</t>
  </si>
  <si>
    <t>6130-4 - envelopes - 171</t>
  </si>
  <si>
    <t>6130-7 - Pre-sort - 171</t>
  </si>
  <si>
    <t>6130-1 - laser printing - 32,840</t>
  </si>
  <si>
    <t>6130-1 - rendering - 7,186</t>
  </si>
  <si>
    <t>6130-1 - paper for laser printing - 16,420</t>
  </si>
  <si>
    <t>6130-1 - 1st insert - 7,186</t>
  </si>
  <si>
    <t>6130-9 - flats - 3</t>
  </si>
  <si>
    <t>6130-4 - envelopes - 7,183</t>
  </si>
  <si>
    <t>6130-1 - rendering - 10</t>
  </si>
  <si>
    <t>6130-4 - flats - 2</t>
  </si>
  <si>
    <t>6130-4 - envelopes - 10</t>
  </si>
  <si>
    <t>6130-7 - Pre-sort - 10</t>
  </si>
  <si>
    <t>6130-19 - Survey cards - 2,500</t>
  </si>
  <si>
    <t>6130-1 - laser printing - 108</t>
  </si>
  <si>
    <t>6130-1 - rendering - 23</t>
  </si>
  <si>
    <t>6130-1 - paper for laser printing - 54</t>
  </si>
  <si>
    <t>6130-1 - 1st insert - 23</t>
  </si>
  <si>
    <t>6130-9 - flats - 1</t>
  </si>
  <si>
    <t>6130-4 - envelopes - 23</t>
  </si>
  <si>
    <t>6130-3 - pre-sort - 23</t>
  </si>
  <si>
    <t>6130-1 - laser printing - 7,612</t>
  </si>
  <si>
    <t>6130-1 - rendering - 1,287</t>
  </si>
  <si>
    <t>6130-1 - paper for laser printing - 3,806</t>
  </si>
  <si>
    <t>6130-1 - 1st insert - 1,287</t>
  </si>
  <si>
    <t>6130-4 - envelopes - 1,287</t>
  </si>
  <si>
    <t>28583</t>
  </si>
  <si>
    <t>28591</t>
  </si>
  <si>
    <t>80562467198</t>
  </si>
  <si>
    <t>3209843</t>
  </si>
  <si>
    <t>6150-17 Vizio 65" LED TV Model: E65-F1   SKU: 6213226</t>
  </si>
  <si>
    <t>6150-8 USB-C to USB Female Adapter 2-Pack Model: CC0253   ASIN: B07CKRCY1K</t>
  </si>
  <si>
    <t>6160-17 TN-880 Reman Toner 2-Pack Model: EZBRTN880-2T   ASIN: B07D9DB8KL</t>
  </si>
  <si>
    <t>04162019</t>
  </si>
  <si>
    <t>04.2016</t>
  </si>
  <si>
    <t>04.17.2019</t>
  </si>
  <si>
    <t>01711J</t>
  </si>
  <si>
    <t>25490918</t>
  </si>
  <si>
    <t>90635113</t>
  </si>
  <si>
    <t>Conference.2019</t>
  </si>
  <si>
    <t>renewal.19.GG</t>
  </si>
  <si>
    <t>B41962392</t>
  </si>
  <si>
    <t>LJ7H8V</t>
  </si>
  <si>
    <t>LK34JS</t>
  </si>
  <si>
    <t>01263C</t>
  </si>
  <si>
    <t>06192019</t>
  </si>
  <si>
    <t>Texas Dept. of Licensing &amp; Regulation</t>
  </si>
  <si>
    <t>Fred Pryor Seminar</t>
  </si>
  <si>
    <t>Thundercloud Subs</t>
  </si>
  <si>
    <t>P Terry's Burger</t>
  </si>
  <si>
    <t>Reunion Ranch</t>
  </si>
  <si>
    <t>Prometric</t>
  </si>
  <si>
    <t>IAAO Bank Lockbox</t>
  </si>
  <si>
    <t>6210-20 - Dinner - Town Hall Mtg for Staff</t>
  </si>
  <si>
    <t>6210-19 - Lunch - Capitol Testimony - ARL</t>
  </si>
  <si>
    <t>6210-19 - Dinner - Capitol Testimony - ARL</t>
  </si>
  <si>
    <t>6210-19 - Parking at Capitol to testify - ARL</t>
  </si>
  <si>
    <t>6210-20 - Developing Emotional Intelligence - ASauls</t>
  </si>
  <si>
    <t xml:space="preserve">6210-4 The Cheesecake Factory Gift Cards, Multipack of 3 - $15			</t>
  </si>
  <si>
    <t xml:space="preserve">6210-4 Amazon.com $15 Gift Cards, Pack of 10 (Thank You Card Design)			</t>
  </si>
  <si>
    <t>6210-8 - deposit for mgmt team building</t>
  </si>
  <si>
    <t>6210-8 - exam schedule</t>
  </si>
  <si>
    <t>6210-10 - ALankford</t>
  </si>
  <si>
    <t>6210-10 - CConnelly</t>
  </si>
  <si>
    <t>6210-33 - License renewal - GGarcia</t>
  </si>
  <si>
    <t>6210-34 - Class IV Exam - BEdsell</t>
  </si>
  <si>
    <t>6210-5 - Airfare to ESRI conference in San Diego - ARompala</t>
  </si>
  <si>
    <t>6210-5 - Airfare to ESRI conference in San Diego - AUrbanek</t>
  </si>
  <si>
    <t>6210-5 - Earlybird check-in - to be reimbursed by AUrbanek</t>
  </si>
  <si>
    <t>6210-19 - Thrall ISD Board meeting presentation - ARL - Dinner</t>
  </si>
  <si>
    <t>6210-24 TAAD Legislative Update ALankford</t>
  </si>
  <si>
    <t>6210-24 TAAD Legislative Update CConnelly</t>
  </si>
  <si>
    <t>6210-24 TAAD Legislative Update AMoore</t>
  </si>
  <si>
    <t>6210-24 TAAD Legislative Update KMcDade</t>
  </si>
  <si>
    <t>6210-24 TAAD Legislative Update CVasquez</t>
  </si>
  <si>
    <t>6210-24 TAAD Legislative Update JUsmani</t>
  </si>
  <si>
    <t>24792503</t>
  </si>
  <si>
    <t>N7773005</t>
  </si>
  <si>
    <t>24979915</t>
  </si>
  <si>
    <t>9829879940</t>
  </si>
  <si>
    <t>2787230258338x052719</t>
  </si>
  <si>
    <t>051919</t>
  </si>
  <si>
    <t>I2019060101388</t>
  </si>
  <si>
    <t>05262016</t>
  </si>
  <si>
    <t>052819</t>
  </si>
  <si>
    <t>05192019</t>
  </si>
  <si>
    <t>04192019.01</t>
  </si>
  <si>
    <t>7990076691905</t>
  </si>
  <si>
    <t>060419</t>
  </si>
  <si>
    <t>0104757060719</t>
  </si>
  <si>
    <t>0365937061019</t>
  </si>
  <si>
    <t>I2019061301003</t>
  </si>
  <si>
    <t>07262019</t>
  </si>
  <si>
    <t>061919</t>
  </si>
  <si>
    <t>6220-5 - LDC - May 2019</t>
  </si>
  <si>
    <t xml:space="preserve">6220-4 Redundant 30amp 208v Power Feed Setup Fee  			</t>
  </si>
  <si>
    <t>6860102</t>
  </si>
  <si>
    <t>22092</t>
  </si>
  <si>
    <t>01585J</t>
  </si>
  <si>
    <t>811665</t>
  </si>
  <si>
    <t>80562602648</t>
  </si>
  <si>
    <t>SRVCE00265415</t>
  </si>
  <si>
    <t>SRVCE00265416</t>
  </si>
  <si>
    <t>43827</t>
  </si>
  <si>
    <t>28870</t>
  </si>
  <si>
    <t>3004622845</t>
  </si>
  <si>
    <t>SCPAY00119205</t>
  </si>
  <si>
    <t>199505-245</t>
  </si>
  <si>
    <t>22324</t>
  </si>
  <si>
    <t>6862119</t>
  </si>
  <si>
    <t>19043289645</t>
  </si>
  <si>
    <t>McCoy's</t>
  </si>
  <si>
    <t>Thyssenkrupp Elevator Corporation</t>
  </si>
  <si>
    <t xml:space="preserve">6225-17 Hex-L Key Combo Set			</t>
  </si>
  <si>
    <t xml:space="preserve">6225-17 1/4 - 20 x 3/4 Bolts			</t>
  </si>
  <si>
    <t xml:space="preserve">6225-17 5/16 - 16 x 3/4 Bolts			</t>
  </si>
  <si>
    <t>6225-17 tax</t>
  </si>
  <si>
    <t>6225-17 SensorPush Wireless Thermometer Smart Sensor Model: HT1   ASIN: B01AEQ9X9I</t>
  </si>
  <si>
    <t>6225-17 SensorPush G1 WiFi Gateway Model: G1   ASIN: B01N17RWWV</t>
  </si>
  <si>
    <t>6225-15 - fix crash bar in main hallway</t>
  </si>
  <si>
    <t xml:space="preserve">6225-17 Nest E Thermostat			</t>
  </si>
  <si>
    <t xml:space="preserve">6225-17 Nest Temperature Sensor 3 pack			</t>
  </si>
  <si>
    <t xml:space="preserve">6225-17 Nest Camera			</t>
  </si>
  <si>
    <t xml:space="preserve">6225-17 Nest Temp Sensor		</t>
  </si>
  <si>
    <t>6225-2 - HVAC repair and maintance</t>
  </si>
  <si>
    <t>6225-6 - Janitorial services - June 2019</t>
  </si>
  <si>
    <t>6225-8 elevator annual maintenance</t>
  </si>
  <si>
    <t>6225-8 3% discount for paying in full</t>
  </si>
  <si>
    <t>6225-17 - returned merchandise</t>
  </si>
  <si>
    <t>06.2019</t>
  </si>
  <si>
    <t>01532C</t>
  </si>
  <si>
    <t>1067</t>
  </si>
  <si>
    <t>Blue Corn Harvest</t>
  </si>
  <si>
    <t>Chuy's</t>
  </si>
  <si>
    <t>6236-1 - Board lunch - ARL, HarryG, LarryG</t>
  </si>
  <si>
    <t>6236-1 - Boad lunch - ARL, DonH, ChadC</t>
  </si>
  <si>
    <t>212571</t>
  </si>
  <si>
    <t>109462604-1</t>
  </si>
  <si>
    <t>Taylor Press</t>
  </si>
  <si>
    <t>6240-10 Display Ad - Protest Procedures ad</t>
  </si>
  <si>
    <t>6040</t>
  </si>
  <si>
    <t>019-1027</t>
  </si>
  <si>
    <t>SP-19-02.A</t>
  </si>
  <si>
    <t>8127413220</t>
  </si>
  <si>
    <t>61841</t>
  </si>
  <si>
    <t>21482</t>
  </si>
  <si>
    <t>1465</t>
  </si>
  <si>
    <t>1103</t>
  </si>
  <si>
    <t>0176</t>
  </si>
  <si>
    <t>679675</t>
  </si>
  <si>
    <t>536400</t>
  </si>
  <si>
    <t>54134061719</t>
  </si>
  <si>
    <t>Nichols, Jackson, Dillard, Hager &amp; Smith</t>
  </si>
  <si>
    <t>Diana Osberg Reporting Services, Inc.</t>
  </si>
  <si>
    <t>6260-10 - HR attorney - FMLA</t>
  </si>
  <si>
    <t>6260-10 - Transcript - Cause #15-0635-C26 - A-S 64 CR 119-HWY 79, LP</t>
  </si>
  <si>
    <t>6260-10 - Deposition - Cause #15-0635-C26 - A-S 64 CR 119-HWY 79, LP</t>
  </si>
  <si>
    <t>28AR157153</t>
  </si>
  <si>
    <t>2017-874C</t>
  </si>
  <si>
    <t>28AR162309</t>
  </si>
  <si>
    <t>042019</t>
  </si>
  <si>
    <t>1895</t>
  </si>
  <si>
    <t>93643546</t>
  </si>
  <si>
    <t>93648936</t>
  </si>
  <si>
    <t>008-007</t>
  </si>
  <si>
    <t>Port Technologies</t>
  </si>
  <si>
    <t>ESRI, Inc.</t>
  </si>
  <si>
    <t xml:space="preserve">6285-10 ArcGIS Geostatistical Analyst		</t>
  </si>
  <si>
    <t>6285-10 - Insights for ArcGIS Online</t>
  </si>
  <si>
    <t xml:space="preserve">6285-9 Cisco Umbrella Insight 1 year 65 User license 			</t>
  </si>
  <si>
    <t>6310-4 - ARB Hearings - May 2019</t>
  </si>
  <si>
    <t>6310-3 ARB Meeting - May 2019</t>
  </si>
  <si>
    <t>6310-3 - ARB Meeting - May 2019</t>
  </si>
  <si>
    <t>6310-6 - ARB Chair Pay</t>
  </si>
  <si>
    <t>6310-4 - ARB Meeting - May 2019</t>
  </si>
  <si>
    <t>6310-6 - Chair pay</t>
  </si>
  <si>
    <t>6310-2 - ARB Meeting - May 2019</t>
  </si>
  <si>
    <t>6310-5 - ARB Meeting - May 2019</t>
  </si>
  <si>
    <t>6310-1 - ARB Meeting - May 2019</t>
  </si>
  <si>
    <t>6320-1 - office supplies for ARB</t>
  </si>
  <si>
    <t>6320-1 - ARB Supplies</t>
  </si>
  <si>
    <t>R98272</t>
  </si>
  <si>
    <t>R12495</t>
  </si>
  <si>
    <t>10318646939</t>
  </si>
  <si>
    <t>10322823790</t>
  </si>
  <si>
    <t>ASSIGNED Dell EMC SCv3020 - (amer_scv3020)12391)</t>
  </si>
  <si>
    <t>ASSIGNED Dell EMC SCv360 - (amer_scv360_12348)</t>
  </si>
  <si>
    <t>7142612</t>
  </si>
  <si>
    <t>78738</t>
  </si>
  <si>
    <t>334589103001</t>
  </si>
  <si>
    <t>500553</t>
  </si>
  <si>
    <t>78813</t>
  </si>
  <si>
    <t>78792</t>
  </si>
  <si>
    <t>6110-12  - name plate - Stephanie Bonnet</t>
  </si>
  <si>
    <t>6110-12 Keurig K50 Coffee Maker</t>
  </si>
  <si>
    <t>6110-12  - name plate - Amber Metcalfe</t>
  </si>
  <si>
    <t>6110-12  - AMetcalfe business cards</t>
  </si>
  <si>
    <t>25414</t>
  </si>
  <si>
    <t>0010957</t>
  </si>
  <si>
    <t>0010962</t>
  </si>
  <si>
    <t>6120-1 - postage for NAV mailout</t>
  </si>
  <si>
    <t>78734</t>
  </si>
  <si>
    <t>25565</t>
  </si>
  <si>
    <t>25570</t>
  </si>
  <si>
    <t>28970</t>
  </si>
  <si>
    <t>29040</t>
  </si>
  <si>
    <t>8971436</t>
  </si>
  <si>
    <t>6509064</t>
  </si>
  <si>
    <t>201960</t>
  </si>
  <si>
    <t>329588011</t>
  </si>
  <si>
    <t>IKEA</t>
  </si>
  <si>
    <t>ASSIGNED - Digium D60 Phone Item: 1TELD060LF   ASIN: B01JH3P456</t>
  </si>
  <si>
    <t>ASSIGNED - Digium D65 Phone Item: 1TELD065LF_AC    ASIN: B01LYSWT6W</t>
  </si>
  <si>
    <t>6150-10 Cisco N5k-C5548UP</t>
  </si>
  <si>
    <t>6150-10 SFP-H10GB-CU3M 10GB Cable</t>
  </si>
  <si>
    <t>6150-10 Shipping</t>
  </si>
  <si>
    <t xml:space="preserve">6150-9 Skarsta Tables 		</t>
  </si>
  <si>
    <t>6150-9 Franklin Bar Stools</t>
  </si>
  <si>
    <t>6150-9 Signum Cable Management</t>
  </si>
  <si>
    <t>6150-9 shipping + tax</t>
  </si>
  <si>
    <t>Credit Card Credit</t>
  </si>
  <si>
    <t>16241321</t>
  </si>
  <si>
    <t>662B</t>
  </si>
  <si>
    <t>3HH3</t>
  </si>
  <si>
    <t>3907419</t>
  </si>
  <si>
    <t>3RWT</t>
  </si>
  <si>
    <t>Fry's Electronics</t>
  </si>
  <si>
    <t>MInor equipment</t>
  </si>
  <si>
    <t>6160-10 - Thunderbolt dock</t>
  </si>
  <si>
    <t>6160-10 - misc computer supplies</t>
  </si>
  <si>
    <t>6160-10 - expidite order</t>
  </si>
  <si>
    <t>6160-10 Surface Pens</t>
  </si>
  <si>
    <t>23398</t>
  </si>
  <si>
    <t>34190293</t>
  </si>
  <si>
    <t>WXLSQ4</t>
  </si>
  <si>
    <t>AWNBAB</t>
  </si>
  <si>
    <t>TBGDLG</t>
  </si>
  <si>
    <t>1097778</t>
  </si>
  <si>
    <t>1097780</t>
  </si>
  <si>
    <t>08142019</t>
  </si>
  <si>
    <t>CEAA-app.2019</t>
  </si>
  <si>
    <t>00971C</t>
  </si>
  <si>
    <t>01496C</t>
  </si>
  <si>
    <t>120219</t>
  </si>
  <si>
    <t>08012019</t>
  </si>
  <si>
    <t>200013403</t>
  </si>
  <si>
    <t>renewal.19.LAW</t>
  </si>
  <si>
    <t>renewal.19.CRM</t>
  </si>
  <si>
    <t>08232019</t>
  </si>
  <si>
    <t>American Airlines</t>
  </si>
  <si>
    <t>Niagara Airbus</t>
  </si>
  <si>
    <t>Sam's Club Wholesale</t>
  </si>
  <si>
    <t>Amanda 1 Rompala</t>
  </si>
  <si>
    <t>6210-5 - Cancellation fee for ESRI lodging</t>
  </si>
  <si>
    <t>6210-4 - survey's</t>
  </si>
  <si>
    <t>6210-10 - IAAO conference - travel by plane</t>
  </si>
  <si>
    <t>6210-10 - IAAO conference - travel from airport to hotel</t>
  </si>
  <si>
    <t>6210-28 - Laws / Rules Update - RWilhite</t>
  </si>
  <si>
    <t>6210-28 - Laws / Rules Update - JNovak</t>
  </si>
  <si>
    <t>6210-20 - CEAA application fee</t>
  </si>
  <si>
    <t>6210-19 - lunch with web consultant</t>
  </si>
  <si>
    <t>6210-18 - annual membership fee</t>
  </si>
  <si>
    <t>6210-5 - Reimbursement - ESRI Conference - lodging, meals, mileage</t>
  </si>
  <si>
    <t>6210-28 - Course 4 - DArrieta</t>
  </si>
  <si>
    <t>6210-28 - Course 10 - CBounds</t>
  </si>
  <si>
    <t>6210-28 - Chief Appraiser Institute - SAMoore</t>
  </si>
  <si>
    <t>6210-20 - Online USPAP Refresher - ALankford</t>
  </si>
  <si>
    <t>6210-33 - License renewal - LWright</t>
  </si>
  <si>
    <t>6210-33 - License renewal - RMeyer</t>
  </si>
  <si>
    <t>6210-28 - Laws/Rules Update - RQuinlan</t>
  </si>
  <si>
    <t>6210-28 - Laws/Rules Update - SHeatley-Dugger</t>
  </si>
  <si>
    <t>6210-28 - Laws/Rules Update - RMeyer</t>
  </si>
  <si>
    <t>28AR161306</t>
  </si>
  <si>
    <t>28AR165950</t>
  </si>
  <si>
    <t>25168764</t>
  </si>
  <si>
    <t>2787230258338x062719</t>
  </si>
  <si>
    <t>I2019070101380</t>
  </si>
  <si>
    <t>062819</t>
  </si>
  <si>
    <t>7990076691906</t>
  </si>
  <si>
    <t>061919.01</t>
  </si>
  <si>
    <t>07042019</t>
  </si>
  <si>
    <t>0104757070719</t>
  </si>
  <si>
    <t>0365937071019</t>
  </si>
  <si>
    <t>I2019080101376</t>
  </si>
  <si>
    <t>6220-5 - LDC - June 2019</t>
  </si>
  <si>
    <t>27071</t>
  </si>
  <si>
    <t>SRVCE00266817</t>
  </si>
  <si>
    <t>44180</t>
  </si>
  <si>
    <t>189542-03</t>
  </si>
  <si>
    <t>29302</t>
  </si>
  <si>
    <t>SCPAY00119879</t>
  </si>
  <si>
    <t>22566</t>
  </si>
  <si>
    <t>Assigned Funds - Fire suppression</t>
  </si>
  <si>
    <t>Assigned Funds - Engineering fee - IT room (fire suppression)</t>
  </si>
  <si>
    <t>6225-6 - Janitorial services - July 2019</t>
  </si>
  <si>
    <t>00811C</t>
  </si>
  <si>
    <t>Fish City Grill</t>
  </si>
  <si>
    <t>6236-1 - Luncheon DHisle &amp; ARL</t>
  </si>
  <si>
    <t>09012019</t>
  </si>
  <si>
    <t>109642887-1</t>
  </si>
  <si>
    <t>2679-8553</t>
  </si>
  <si>
    <t>R43185166</t>
  </si>
  <si>
    <t>R43229165</t>
  </si>
  <si>
    <t>JotForm</t>
  </si>
  <si>
    <t>IAAO - YourMembership.com</t>
  </si>
  <si>
    <t>6240-18 - Publication - Residential Estimator 7</t>
  </si>
  <si>
    <t>6240-19 - job posting - resumes</t>
  </si>
  <si>
    <t>6240-13 - Job Posting - Residential Appraiser</t>
  </si>
  <si>
    <t>6240-3 - publication</t>
  </si>
  <si>
    <t>6240-13 - Talent Boost - Job Posting - Residential Appraiser</t>
  </si>
  <si>
    <t>6107</t>
  </si>
  <si>
    <t>1109</t>
  </si>
  <si>
    <t>61868</t>
  </si>
  <si>
    <t>21845</t>
  </si>
  <si>
    <t>CT00000980</t>
  </si>
  <si>
    <t>1629</t>
  </si>
  <si>
    <t>019-1033</t>
  </si>
  <si>
    <t>19-12672</t>
  </si>
  <si>
    <t>6260-8 Connect Image Service</t>
  </si>
  <si>
    <t>6260-10 - professional services - April Expenses</t>
  </si>
  <si>
    <t>6260-10 - professional services -May Expenses</t>
  </si>
  <si>
    <t>ASSIGNED FUNDS - Entech engineering fee for Pat Corbett</t>
  </si>
  <si>
    <t>Assigned Funds - Parcel Fabric - remote training</t>
  </si>
  <si>
    <t>6260-3 - computer consultants</t>
  </si>
  <si>
    <t>6260-10 - expert - Rusk Cattle Co, Inc - 18-1233-C395 (P491392)</t>
  </si>
  <si>
    <t>6260-10 - 2017 &amp; 2018 Equity Reports - Fisher-Rosemont Systems 17-0835-C425</t>
  </si>
  <si>
    <t>93659527</t>
  </si>
  <si>
    <t>93663196</t>
  </si>
  <si>
    <t>6280-27 - ArcGIS Community Analyst Web App Online Term License</t>
  </si>
  <si>
    <t>6280-17 - ArcGIS Desktop advanced Concurrent Use Primary Maintenance</t>
  </si>
  <si>
    <t>6280-18 - ArcGIS Desktop Advanced Concurrent Use Secondary Maintenance</t>
  </si>
  <si>
    <t>6280-19 - ArcGIS Desktop Standard Concurrent Use Primary Maintenance</t>
  </si>
  <si>
    <t>6280-20 - ArcGIS Desktop Standard Concurrent Use Secondary Maintenance - 4</t>
  </si>
  <si>
    <t>6280-24 - ArcGIS Spatial Analyst for Desktop Concurrent Use Primary Maintenance</t>
  </si>
  <si>
    <t>6280-25 - ArcGIS 3D Analyst for Desktop Concurrent Use Primary Maintenance</t>
  </si>
  <si>
    <t>6280-21 - ArcGIS Desktop Basic Single Use Primary Maintenance</t>
  </si>
  <si>
    <t>6280-22 - ArcGIS Desktop Basic Single Use Secondary Maintenance</t>
  </si>
  <si>
    <t>6280-26 - ArcGIS Online Named User Level 2 - Term License (pre 4.4 pricing)</t>
  </si>
  <si>
    <t>6280-23 - ArcGIS Enterprise Standard Up to Four Cores Maintenance</t>
  </si>
  <si>
    <t>6280-27 - ArcGIS Geostatistical Analyst for Desktop Concurrent Use Primary Maintenance</t>
  </si>
  <si>
    <t>6280-27 - Insights for ArcGIS in ArcGIS Online Term License</t>
  </si>
  <si>
    <t>070-3513</t>
  </si>
  <si>
    <t>1333</t>
  </si>
  <si>
    <t>008-008</t>
  </si>
  <si>
    <t>EOS Digital Services</t>
  </si>
  <si>
    <t>Assigned Funds - Orion Field Mobile License Fees</t>
  </si>
  <si>
    <t>ASSIGNED/RESERVES - Synology CLP8 8 - Camera License</t>
  </si>
  <si>
    <t>2nd.qtr.19</t>
  </si>
  <si>
    <t>Texas Workforce Commission</t>
  </si>
  <si>
    <t>6310-3 - ARB Meeting - June 2019</t>
  </si>
  <si>
    <t>6310-2 - ARB Meeting - June 2019</t>
  </si>
  <si>
    <t>6310-1 - ARB Meeting - June 2019</t>
  </si>
  <si>
    <t>6310-4 - ARB Meeting - June 2019</t>
  </si>
  <si>
    <t>6310-5 - ARB Meeting - June 2019</t>
  </si>
  <si>
    <t>6310-4 - ARB Hearings - June 2019</t>
  </si>
  <si>
    <t>6310-3 ARB Meeting - June 2019</t>
  </si>
  <si>
    <t>6310-5 - Unemployment benefits - ARB JHedges</t>
  </si>
  <si>
    <t>4531</t>
  </si>
  <si>
    <t>6350-2 - ARB Training</t>
  </si>
  <si>
    <t>79050</t>
  </si>
  <si>
    <t>8562643</t>
  </si>
  <si>
    <t>351613235001</t>
  </si>
  <si>
    <t>1060220</t>
  </si>
  <si>
    <t>451732</t>
  </si>
  <si>
    <t>0843464</t>
  </si>
  <si>
    <t>21205</t>
  </si>
  <si>
    <t>79268</t>
  </si>
  <si>
    <t>359172569001</t>
  </si>
  <si>
    <t>79317</t>
  </si>
  <si>
    <t>9592223</t>
  </si>
  <si>
    <t>363892609001</t>
  </si>
  <si>
    <t>4317012</t>
  </si>
  <si>
    <t>366135329001</t>
  </si>
  <si>
    <t>79448</t>
  </si>
  <si>
    <t>2151420</t>
  </si>
  <si>
    <t>5309824</t>
  </si>
  <si>
    <t>1202662</t>
  </si>
  <si>
    <t>2254630</t>
  </si>
  <si>
    <t>79552</t>
  </si>
  <si>
    <t>374172603001</t>
  </si>
  <si>
    <t>169799</t>
  </si>
  <si>
    <t>79713</t>
  </si>
  <si>
    <t>79714</t>
  </si>
  <si>
    <t>Robert Harris</t>
  </si>
  <si>
    <t>AED Land</t>
  </si>
  <si>
    <t>SRI Monogramming</t>
  </si>
  <si>
    <t>6110-12 - reimbursement materials cornhole game</t>
  </si>
  <si>
    <t>6110-12  - Stamp - Bart E</t>
  </si>
  <si>
    <t>minor equipment (PO 2019-68)</t>
  </si>
  <si>
    <t>6110-12 Hamilton Beach Retractable Cord 2 Slice Toaster Model# 22810</t>
  </si>
  <si>
    <t xml:space="preserve">6110-3 Powerheart® G3 AED Defibrillation Pads 9131-001			</t>
  </si>
  <si>
    <t>6110-12  - business cards (KGamboa)</t>
  </si>
  <si>
    <t>6110-12  - business cards (CManas, HHayden, LPerez)</t>
  </si>
  <si>
    <t>6110-6 - copier paper</t>
  </si>
  <si>
    <t>6110-12 - refund to invoice 351613235001 - defective binders</t>
  </si>
  <si>
    <t>6110-12  - business cards (WHuntsberger)</t>
  </si>
  <si>
    <t>Minor Equipment (PO 2019-75)</t>
  </si>
  <si>
    <t>Office supplies (PO 2019-77)</t>
  </si>
  <si>
    <t>6110-12 LCD Writing Tablet for Office Doors</t>
  </si>
  <si>
    <t>6110-12  - business cards (GGarcia)</t>
  </si>
  <si>
    <t>6110-5 - Company shirts</t>
  </si>
  <si>
    <t>6110-12  - business cards (AMetcalfe)</t>
  </si>
  <si>
    <t>6110-12  - business cards (LWright)</t>
  </si>
  <si>
    <t>5560</t>
  </si>
  <si>
    <t>25537</t>
  </si>
  <si>
    <t>0011061</t>
  </si>
  <si>
    <t>6-708-19660</t>
  </si>
  <si>
    <t>7422</t>
  </si>
  <si>
    <t>0011148</t>
  </si>
  <si>
    <t>26160</t>
  </si>
  <si>
    <t>26161</t>
  </si>
  <si>
    <t>BR.09.2019</t>
  </si>
  <si>
    <t>FedEx</t>
  </si>
  <si>
    <t>6120-1 - postage - 1,705</t>
  </si>
  <si>
    <t>6120-1 - postage - 4</t>
  </si>
  <si>
    <t>6120-7 - postage for HS postcard mailout - min chrg</t>
  </si>
  <si>
    <t>6120-1 - postage for NAV - min chrg</t>
  </si>
  <si>
    <t>6120-11 Postage</t>
  </si>
  <si>
    <t>6120-1 - postage - 1,266</t>
  </si>
  <si>
    <t>6120-1 - postage - 5</t>
  </si>
  <si>
    <t>25670</t>
  </si>
  <si>
    <t>25671</t>
  </si>
  <si>
    <t>25760</t>
  </si>
  <si>
    <t>25761</t>
  </si>
  <si>
    <t>39620</t>
  </si>
  <si>
    <t>6130-1 - laser printing - 17,376</t>
  </si>
  <si>
    <t>6130-1 - rendering - 1,705</t>
  </si>
  <si>
    <t>6130-1 - paper for laser printing - 8,688</t>
  </si>
  <si>
    <t>6130-1 - 1st insert - 1,705</t>
  </si>
  <si>
    <t>6130-9 - flats - 62</t>
  </si>
  <si>
    <t>6130-4 - envelopes - 1,705</t>
  </si>
  <si>
    <t>6130-1 - laser printing - 16</t>
  </si>
  <si>
    <t>6130-1 - rendering - 4</t>
  </si>
  <si>
    <t>6130-1 - paper for laser printing - 8</t>
  </si>
  <si>
    <t>6130-1 - 1st insert - 4</t>
  </si>
  <si>
    <t>6130-4 - envelopes - 4</t>
  </si>
  <si>
    <t>6130-1 Minimum Charge (37) ~ 2 @ $50</t>
  </si>
  <si>
    <t>6130-1 Minimum Charge (34) ~ 2 @ $50</t>
  </si>
  <si>
    <t>6130-1 - laser printing - 16,628</t>
  </si>
  <si>
    <t>6130-1 - rendering - 1,268</t>
  </si>
  <si>
    <t>6130-1 - paper for laser printing - 8,314</t>
  </si>
  <si>
    <t>6130-1 - 1st insert - 1,514</t>
  </si>
  <si>
    <t>6130-9 - flats - 16</t>
  </si>
  <si>
    <t>6130-4 - envelopes - 1,268</t>
  </si>
  <si>
    <t>6130-5 - Laser printing R&amp;R - 1,268</t>
  </si>
  <si>
    <t>6130-1 - laser printing - 148</t>
  </si>
  <si>
    <t>6130-1 - rendering - 5</t>
  </si>
  <si>
    <t>6130-1 - paper for laser printing - 74</t>
  </si>
  <si>
    <t>6130-1 - 1st insert - 5</t>
  </si>
  <si>
    <t>6130-4 - envelopes - 5</t>
  </si>
  <si>
    <t>6130-5 - Laser printing R&amp;R - 5</t>
  </si>
  <si>
    <t>6130-16 - #10 window 7.5K</t>
  </si>
  <si>
    <t>29007</t>
  </si>
  <si>
    <t>29721</t>
  </si>
  <si>
    <t>29813</t>
  </si>
  <si>
    <t>29880</t>
  </si>
  <si>
    <t>6140-1 - refund - overpymt of janitorial supplies</t>
  </si>
  <si>
    <t>3809810</t>
  </si>
  <si>
    <t>10334561748</t>
  </si>
  <si>
    <t>10335439910</t>
  </si>
  <si>
    <t xml:space="preserve">6150-8 16GB (2x8GB) Memory Ram ASIN: B01DV7O9D2	</t>
  </si>
  <si>
    <t xml:space="preserve">6150-8 Surface Pro Laptop Charger ASIN: B07DQHVXL2			  </t>
  </si>
  <si>
    <t>6150-9 Oasis Aquarius Counter Top Hot, Cold, and	Room Temp Water Dispenser	Model: POU1ACTHSK   A...</t>
  </si>
  <si>
    <t xml:space="preserve">6150-8 Dell Active Pen			</t>
  </si>
  <si>
    <t>6150-8 Logitech MK550 Wireless mouse + keyboard</t>
  </si>
  <si>
    <t xml:space="preserve">6150-8 Latitude 7400 2 in 1	</t>
  </si>
  <si>
    <t>6150-8 Premier Sleeve</t>
  </si>
  <si>
    <t>6150-8 Dell Thunderbolt Dock</t>
  </si>
  <si>
    <t>6150-9 Accuteck 440lb Shipping Postal Scale Part: ACB440   ASIN: B00LPUZP1I</t>
  </si>
  <si>
    <t>6150-5 Microsoft Surface Pro 6 - ASIN B07HZPCWD8</t>
  </si>
  <si>
    <t>6150-5 Surface Pro 6 case ASIN B07PYZNHRH</t>
  </si>
  <si>
    <t xml:space="preserve">6150-5 Galaxy A10e case ASIN B07T8FQJ6N 	</t>
  </si>
  <si>
    <t>6150-5 right angle usb extension cable ASIN B07DTMX432</t>
  </si>
  <si>
    <t xml:space="preserve">6160-10 6 Outlet Surge Protector Power Strip 2 Pack ASIN: B014EKQ5AA			  </t>
  </si>
  <si>
    <t>6160-7 Seagate IronWolf 10TB NAS HDD "Model: ST10000VNZ004/VN0004   ASIN: B07H241VK4"</t>
  </si>
  <si>
    <t>01-06-2019</t>
  </si>
  <si>
    <t>077409</t>
  </si>
  <si>
    <t>2H2BB</t>
  </si>
  <si>
    <t>09.2019</t>
  </si>
  <si>
    <t>08162019</t>
  </si>
  <si>
    <t>081619</t>
  </si>
  <si>
    <t>200013589</t>
  </si>
  <si>
    <t>585429</t>
  </si>
  <si>
    <t>585424</t>
  </si>
  <si>
    <t>00742C</t>
  </si>
  <si>
    <t>2019819038</t>
  </si>
  <si>
    <t>10102562</t>
  </si>
  <si>
    <t>01490C</t>
  </si>
  <si>
    <t>1926188</t>
  </si>
  <si>
    <t>01524C</t>
  </si>
  <si>
    <t>2461801</t>
  </si>
  <si>
    <t>08.2019</t>
  </si>
  <si>
    <t>11182019</t>
  </si>
  <si>
    <t>01673C</t>
  </si>
  <si>
    <t>01861C</t>
  </si>
  <si>
    <t>200013713</t>
  </si>
  <si>
    <t>01916C</t>
  </si>
  <si>
    <t>renewal.19.DLL</t>
  </si>
  <si>
    <t>954</t>
  </si>
  <si>
    <t>1053</t>
  </si>
  <si>
    <t>1834</t>
  </si>
  <si>
    <t>02086C</t>
  </si>
  <si>
    <t>renewal.19.CSM</t>
  </si>
  <si>
    <t>081919</t>
  </si>
  <si>
    <t>092319</t>
  </si>
  <si>
    <t>Membership.VL, AB</t>
  </si>
  <si>
    <t>renewal.19.ARL</t>
  </si>
  <si>
    <t>renewal.19.RWH</t>
  </si>
  <si>
    <t>renewal.19.CAL</t>
  </si>
  <si>
    <t>300011196</t>
  </si>
  <si>
    <t>300011193</t>
  </si>
  <si>
    <t>300011200</t>
  </si>
  <si>
    <t>300011197</t>
  </si>
  <si>
    <t>300011199</t>
  </si>
  <si>
    <t>300011195</t>
  </si>
  <si>
    <t>300011198</t>
  </si>
  <si>
    <t>300011202</t>
  </si>
  <si>
    <t>300011201</t>
  </si>
  <si>
    <t>300011194</t>
  </si>
  <si>
    <t>092019</t>
  </si>
  <si>
    <t>License.DAS.2019</t>
  </si>
  <si>
    <t>10.2019</t>
  </si>
  <si>
    <t>renewal.19.SAM</t>
  </si>
  <si>
    <t>License.SVC.2019</t>
  </si>
  <si>
    <t>renewal.19.ARM</t>
  </si>
  <si>
    <t>10.14.2016</t>
  </si>
  <si>
    <t>Amber Metcalfe</t>
  </si>
  <si>
    <t>Brent Morrison</t>
  </si>
  <si>
    <t>Thrall Country Diner</t>
  </si>
  <si>
    <t>Amanda L. Sauls</t>
  </si>
  <si>
    <t>Amy Urbanek</t>
  </si>
  <si>
    <t>Parking</t>
  </si>
  <si>
    <t>Texas Association of School Boards</t>
  </si>
  <si>
    <t>Pinthouse Pizza</t>
  </si>
  <si>
    <t>Starbucks</t>
  </si>
  <si>
    <t>Recuerdos Tex Mex</t>
  </si>
  <si>
    <t>D Boone's</t>
  </si>
  <si>
    <t>Yard House</t>
  </si>
  <si>
    <t>Rosario's</t>
  </si>
  <si>
    <t>Buc-ee's</t>
  </si>
  <si>
    <t>Christopher Connelly</t>
  </si>
  <si>
    <t>Richard Quinlan</t>
  </si>
  <si>
    <t>Angie Lugo</t>
  </si>
  <si>
    <t>6210-20 -Dir/Mgr snacks</t>
  </si>
  <si>
    <t>6210-20 - Pryor Seminar - meals / tolls</t>
  </si>
  <si>
    <t>6210-20 - Entity meeting snack</t>
  </si>
  <si>
    <t>6210-5 - Reimbursement ESRI Conf - Lodging, meals, travel</t>
  </si>
  <si>
    <t>6210-20 - Parking for Property Tax &amp; Appraisal Conference - ARL</t>
  </si>
  <si>
    <t>6210-18 - membership fees (1/2 year)</t>
  </si>
  <si>
    <t>6210-28 - Course 30 - Carrie Lindquist</t>
  </si>
  <si>
    <t>6210-28 - Laws/Rules Update - ABayler</t>
  </si>
  <si>
    <t>6210-28 - Laws/Rules Update - CPark</t>
  </si>
  <si>
    <t>6210-28 - Laws/Rules Update - BHarris</t>
  </si>
  <si>
    <t>6210-28 - Laws/Rules Update - LPerez</t>
  </si>
  <si>
    <t>6210-28 - Course 31 - USPAP Refresher - StephanieHD</t>
  </si>
  <si>
    <t>6210-28 - Online Customer Service Workshop - CPark</t>
  </si>
  <si>
    <t>6210-28 - Online Orientation to the Texas Property Tax System - CPark</t>
  </si>
  <si>
    <t>6210-28 - Ethics - BBrown</t>
  </si>
  <si>
    <t>6210-28 - Ethics - ABayler</t>
  </si>
  <si>
    <t>6210-20 - City of Cedar Park Budget Mtg - ARL &amp; KGamboa</t>
  </si>
  <si>
    <t>6210-28 - Course 31 - USPAP Refresher - RQuinlan</t>
  </si>
  <si>
    <t>6210-28 - Laws/Rules Update - GGarcia</t>
  </si>
  <si>
    <t>6210-33 - License renewal - AOng</t>
  </si>
  <si>
    <t>6210-4 - Planning Session - Dir/Mgrs/CA/DCA</t>
  </si>
  <si>
    <t>6210-4 - Planning Session Luncheon - Dir/Mgrs/CA/DCA</t>
  </si>
  <si>
    <t>6210-8 - mgmt team building</t>
  </si>
  <si>
    <t>6210-28 - Course 3 - RMata</t>
  </si>
  <si>
    <t>6210-34 - Level IV RPA Review - CBounds</t>
  </si>
  <si>
    <t>6210-28 - Personal Property Topics Seminar - JGriner</t>
  </si>
  <si>
    <t>6210-28 - Personal Property Topics Seminar - GGarcia</t>
  </si>
  <si>
    <t>6210-28 - Personal Property Topics Seminar - AMetcalfe</t>
  </si>
  <si>
    <t>6210-28 - Personal Property Topics Seminar - LWright</t>
  </si>
  <si>
    <t>6210-28 - Course 30 - WGordy</t>
  </si>
  <si>
    <t>6210-28 - Course 30 - LWright</t>
  </si>
  <si>
    <t>6210-28 - Course 30 - GGarcia</t>
  </si>
  <si>
    <t>6210-28 - Wildlife Appraisal Seminar - CPark</t>
  </si>
  <si>
    <t>6210-28 - Wildlife Appraisal Seminar - BBrown</t>
  </si>
  <si>
    <t>6210-13 - IAAO 311 - RQuinlan</t>
  </si>
  <si>
    <t>6210-13 - IAAO 311 - SHDugger</t>
  </si>
  <si>
    <t>6210-28 - Course 32 - DArrieta</t>
  </si>
  <si>
    <t>6210-28 - Course 203 - WGordy</t>
  </si>
  <si>
    <t>6210-28 - Course 31 - BEdsell</t>
  </si>
  <si>
    <t>6210-28 - Course 31 - BMorrison</t>
  </si>
  <si>
    <t>6210-28 - Course 31 - ABayler</t>
  </si>
  <si>
    <t>6210-28 - Course 31 - BHarris</t>
  </si>
  <si>
    <t>6210-28 - Course 31 - LWright</t>
  </si>
  <si>
    <t>6210-4 - Planning Session Breakfast - Dir/Mgrs/CA/DCA</t>
  </si>
  <si>
    <t>6210-24 - TAAD Legislature Seminar - Dinner - ARL, CBC, SAM, JUsmani, KCM</t>
  </si>
  <si>
    <t>6210-4 - Reimbursement - supplies for planning session</t>
  </si>
  <si>
    <t>6210-28 - USPAP Refresher Course - AOng</t>
  </si>
  <si>
    <t>6210-24 - TAAD Legislature Seminar - Dinner - KCM, ARL, CBC, SAM</t>
  </si>
  <si>
    <t>6210-33 - License renewal - DLabenski</t>
  </si>
  <si>
    <t>6210-24 - TAAD Legislature Seminar - lodging - JUsmani</t>
  </si>
  <si>
    <t>6210-24 - TAAD Legislature Seminar - lodging - CVasquez</t>
  </si>
  <si>
    <t>6210-24 - TAAD Legislature Seminar - lodging - CBC &amp; ARL</t>
  </si>
  <si>
    <t>6210-24 - TAAD Legislature Seminar - Lunch - ARL</t>
  </si>
  <si>
    <t>6210-33 - License renewal - CManas</t>
  </si>
  <si>
    <t>6210-28 - Laws/Rules Update - AOng</t>
  </si>
  <si>
    <t>6210-32 - TCDRS Conf - reimbursement mileage &amp; parking</t>
  </si>
  <si>
    <t>6210-20 - reimbursement mileage budget entity mtgs</t>
  </si>
  <si>
    <t>6210-24 - TAAD Legislative Seminar - reimbursement meal</t>
  </si>
  <si>
    <t>6210-24 - Legislative Update Seminar - mileage reimbursement</t>
  </si>
  <si>
    <t>6210-24 - Legislative Update Seminar - mileage &amp; meal reimbursement</t>
  </si>
  <si>
    <t>6210-24 - Reimbursement - TAAD Legislative Seminar - lodging, mileage, meal</t>
  </si>
  <si>
    <t>6210-34 - Level IV RPA review - AMetcalfe</t>
  </si>
  <si>
    <t>6210-29 - Reimbursement - TAAO Conf - lodging, mileage &amp; meals</t>
  </si>
  <si>
    <t>6210-12 - Membership - VLongstreth &amp; ABayler</t>
  </si>
  <si>
    <t>6210-31 - TAMU - Legal Seminar - reimbursement meals, lodging, mileage</t>
  </si>
  <si>
    <t>6210-33 - License renewal - ALankford</t>
  </si>
  <si>
    <t>6210-33 - License renewal - RHarris</t>
  </si>
  <si>
    <t>6210-33 - License renewal - CLindquist</t>
  </si>
  <si>
    <t>6210-30 - ALankford</t>
  </si>
  <si>
    <t>6210-30 - CConnelly</t>
  </si>
  <si>
    <t>6210-30 - Samuel "Aaron" Moore</t>
  </si>
  <si>
    <t>6210-30 - KCMcDade</t>
  </si>
  <si>
    <t>6210-30 - JMiller</t>
  </si>
  <si>
    <t>6210-30 - JGriner</t>
  </si>
  <si>
    <t>6210-30 - PMetcalfe</t>
  </si>
  <si>
    <t>6210-30 - AStenulson</t>
  </si>
  <si>
    <t>6210-30 - RQuinlan</t>
  </si>
  <si>
    <t>6210-30 - DDaniell</t>
  </si>
  <si>
    <t>6210-30 - ABayler</t>
  </si>
  <si>
    <t>6210-30 - RWilhite</t>
  </si>
  <si>
    <t>6210-33 - DSmith</t>
  </si>
  <si>
    <t>6210-28 - Course 101 - DSmith</t>
  </si>
  <si>
    <t>6210-28 - Course 102 - DSmith</t>
  </si>
  <si>
    <t>6210-28 - Ag Use Appr / Schedule Bldg - CKurth</t>
  </si>
  <si>
    <t>6210-28 - Wildlife Appr Seminar</t>
  </si>
  <si>
    <t>6210-10 - IAAO Conference - reimbursement meal</t>
  </si>
  <si>
    <t>6210-33 - License renewal - SAMoore</t>
  </si>
  <si>
    <t>6210-33 - SCrone</t>
  </si>
  <si>
    <t>6210-33 - License renewal - AMetcalfe</t>
  </si>
  <si>
    <t>6210-28 - Course 101 - SCrone</t>
  </si>
  <si>
    <t>6210-28 - Course 102 - SCrone</t>
  </si>
  <si>
    <t>6210-10 - IAAO Conference - lodging reimbursement</t>
  </si>
  <si>
    <t>N7847689</t>
  </si>
  <si>
    <t>28AR171500</t>
  </si>
  <si>
    <t>25348365</t>
  </si>
  <si>
    <t>28AR177125</t>
  </si>
  <si>
    <t>N7908036</t>
  </si>
  <si>
    <t>070319</t>
  </si>
  <si>
    <t>2787230258338x072719</t>
  </si>
  <si>
    <t>08252019</t>
  </si>
  <si>
    <t>071819</t>
  </si>
  <si>
    <t>071919</t>
  </si>
  <si>
    <t>07212019</t>
  </si>
  <si>
    <t>7990076691907</t>
  </si>
  <si>
    <t>9833828989</t>
  </si>
  <si>
    <t>08042019</t>
  </si>
  <si>
    <t>0104757080719</t>
  </si>
  <si>
    <t>0365937081019</t>
  </si>
  <si>
    <t>2787230258338x082719</t>
  </si>
  <si>
    <t>I2019090101372</t>
  </si>
  <si>
    <t>09252019</t>
  </si>
  <si>
    <t>082819</t>
  </si>
  <si>
    <t>08192019</t>
  </si>
  <si>
    <t>09042019</t>
  </si>
  <si>
    <t>0104757090719</t>
  </si>
  <si>
    <t>7990076691908</t>
  </si>
  <si>
    <t>9835816875</t>
  </si>
  <si>
    <t>6220-5 - LDC - July 2019</t>
  </si>
  <si>
    <t>6220-5 - LDC - August 2019</t>
  </si>
  <si>
    <t>22704</t>
  </si>
  <si>
    <t>SRVCE00268239</t>
  </si>
  <si>
    <t>SRVCE00268652</t>
  </si>
  <si>
    <t>27150</t>
  </si>
  <si>
    <t>44539</t>
  </si>
  <si>
    <t>29707</t>
  </si>
  <si>
    <t>SCPAY00120586</t>
  </si>
  <si>
    <t>22843</t>
  </si>
  <si>
    <t>6864539</t>
  </si>
  <si>
    <t>27183</t>
  </si>
  <si>
    <t>SRVCE00270252</t>
  </si>
  <si>
    <t>27212</t>
  </si>
  <si>
    <t>44860</t>
  </si>
  <si>
    <t>30052</t>
  </si>
  <si>
    <t>199505-350</t>
  </si>
  <si>
    <t>09112019</t>
  </si>
  <si>
    <t>6225-13 - Irrigation repair, fire ant treatment, trim 2 dead trees &amp; haul off</t>
  </si>
  <si>
    <t xml:space="preserve">6225-17 Zip Ties 500Pcs Combo Pack ASIN: B07478C7P2			  </t>
  </si>
  <si>
    <t>6225-24 - vitastim pellets</t>
  </si>
  <si>
    <t>6225-6 - Janitorial services - August 2019</t>
  </si>
  <si>
    <t>6225-6 - Janitorial services - September 2019</t>
  </si>
  <si>
    <t>6225-7 - Electrical work</t>
  </si>
  <si>
    <t>6225-9 Elevator inspection - 1/2 pymt</t>
  </si>
  <si>
    <t>6236-1 - BOD snacks</t>
  </si>
  <si>
    <t>40659</t>
  </si>
  <si>
    <t>109813001-1</t>
  </si>
  <si>
    <t>2328-0436</t>
  </si>
  <si>
    <t>109910287-1</t>
  </si>
  <si>
    <t>6240-13 - Job posting ad - Residential Appraiser</t>
  </si>
  <si>
    <t>6240-10 Display Ad - Budget Public Hearing</t>
  </si>
  <si>
    <t>TX02-19-0537-000</t>
  </si>
  <si>
    <t>TX02-19-0537-001</t>
  </si>
  <si>
    <t>12962</t>
  </si>
  <si>
    <t>6165</t>
  </si>
  <si>
    <t>1117</t>
  </si>
  <si>
    <t>61893</t>
  </si>
  <si>
    <t>1027</t>
  </si>
  <si>
    <t>08072019</t>
  </si>
  <si>
    <t>54134061619</t>
  </si>
  <si>
    <t>8127195392</t>
  </si>
  <si>
    <t>678136999</t>
  </si>
  <si>
    <t>678136916</t>
  </si>
  <si>
    <t>678137950</t>
  </si>
  <si>
    <t>678137953</t>
  </si>
  <si>
    <t>TX02-19-0662-002</t>
  </si>
  <si>
    <t>TX02-19-0662-000</t>
  </si>
  <si>
    <t>286063</t>
  </si>
  <si>
    <t>1122</t>
  </si>
  <si>
    <t>6225</t>
  </si>
  <si>
    <t>22506</t>
  </si>
  <si>
    <t>1808</t>
  </si>
  <si>
    <t>0244</t>
  </si>
  <si>
    <t>19-12750</t>
  </si>
  <si>
    <t>TX02-19-0741-000</t>
  </si>
  <si>
    <t>TX02-19-0741-001</t>
  </si>
  <si>
    <t>286197</t>
  </si>
  <si>
    <t>1977</t>
  </si>
  <si>
    <t>Pushpin</t>
  </si>
  <si>
    <t>GoodHire</t>
  </si>
  <si>
    <t>6260-10 - Expert 2017 &amp; 2018 Equity Rpts - FPG Aspen Lake Owner LP 16-1055-C395</t>
  </si>
  <si>
    <t>6260-10 - professional services - June Expenses</t>
  </si>
  <si>
    <t>6260-7 - Pool project (11,922 parcels x 0.15/parcel)</t>
  </si>
  <si>
    <t>6260-10 - Mediation - Kohl's Illinois Inc - 17-1178-C368 &amp; 18-1194-C425</t>
  </si>
  <si>
    <t>6260-9 - Background check - DSmith</t>
  </si>
  <si>
    <t>6260-9 - Background check - JRobins &amp; set-up fee</t>
  </si>
  <si>
    <t>6260-9 - Background check - JRobins</t>
  </si>
  <si>
    <t>6260-10 - Expert 2016 &amp; 2018 Equity Rpts - Terrazzo Apts 16-0877-C26</t>
  </si>
  <si>
    <t>6260-9 - Employment screening - DSmith, JRobins</t>
  </si>
  <si>
    <t>6260-10 - Rusk Cattle - 18-1233-C395 - Attorney &amp; court cost fees</t>
  </si>
  <si>
    <t>6260-10 - Prof services - July expenses</t>
  </si>
  <si>
    <t>6260-10 - 2017 &amp; 2018 Equity Reports - RPAI Cedar Park Town Center 19-0052-C395</t>
  </si>
  <si>
    <t>6260-10 - Expert 2016 Mkt Rpt - BRE RC 1890 Ranch 16-1006.C425</t>
  </si>
  <si>
    <t>6260-10 - Expert 2017 Mkt Rpt - BRE RC 1890 Ranch 16-1006.C425</t>
  </si>
  <si>
    <t>6260-9 - Employment screening - SCrone</t>
  </si>
  <si>
    <t>28AR168649</t>
  </si>
  <si>
    <t>28AR173388</t>
  </si>
  <si>
    <t>28AR178433</t>
  </si>
  <si>
    <t>6710</t>
  </si>
  <si>
    <t>008-009</t>
  </si>
  <si>
    <t>den4b.com</t>
  </si>
  <si>
    <t>6285-10 ReNamer v7.1 File renaming tool license for DavidB, DaniellaV, JenniferU, and MariaF.</t>
  </si>
  <si>
    <t>6285-10 29% Bulk Purchase Discount</t>
  </si>
  <si>
    <t>6310-3 - ARB Meeting - July 2019</t>
  </si>
  <si>
    <t>6310-4 - ARB Meeting - July 2019</t>
  </si>
  <si>
    <t>6310-2 - ARB Meeting - July 2019</t>
  </si>
  <si>
    <t>6310-5 - ARB Meeting - July 2019</t>
  </si>
  <si>
    <t>6310-3 ARB Meeting - July 2019</t>
  </si>
  <si>
    <t>6310-1 - ARB Meeting - July 2019</t>
  </si>
  <si>
    <t>6310-4 - ARB Hearings - July 2019</t>
  </si>
  <si>
    <t>6310-4 - ARB Meeting - August 2019</t>
  </si>
  <si>
    <t>6310-3 - ARB Meeting - August 2019</t>
  </si>
  <si>
    <t>6310-2 - ARB Meeting - August 2019</t>
  </si>
  <si>
    <t>6320-1 - ARB office supplies</t>
  </si>
  <si>
    <t>444954947343</t>
  </si>
  <si>
    <t>6150-5 - shipping</t>
  </si>
  <si>
    <t>XCBM016381-</t>
  </si>
  <si>
    <t>79719</t>
  </si>
  <si>
    <t>79810</t>
  </si>
  <si>
    <t>9483431</t>
  </si>
  <si>
    <t>382273974001</t>
  </si>
  <si>
    <t>79953</t>
  </si>
  <si>
    <t>170665</t>
  </si>
  <si>
    <t>385220156001</t>
  </si>
  <si>
    <t>385215932001</t>
  </si>
  <si>
    <t>384883398001</t>
  </si>
  <si>
    <t>386134253001</t>
  </si>
  <si>
    <t>80080</t>
  </si>
  <si>
    <t>270</t>
  </si>
  <si>
    <t>7900759036</t>
  </si>
  <si>
    <t>7267</t>
  </si>
  <si>
    <t>Benchmark Tool &amp; Supply Inc.</t>
  </si>
  <si>
    <t>Lone Star Hero Gear</t>
  </si>
  <si>
    <t>Target Stores</t>
  </si>
  <si>
    <t>On Site Signs</t>
  </si>
  <si>
    <t>GHS - Georgettes</t>
  </si>
  <si>
    <t>6110-11 'Sokkia 100' Appraisers Tape Refill in Inches w/Hook End - 845184</t>
  </si>
  <si>
    <t>6110-6 - Business Reply Envelopes (5,000)</t>
  </si>
  <si>
    <t>6110-12 - business cards (DSmith)</t>
  </si>
  <si>
    <t>6110-12 - business cards (SCrone)</t>
  </si>
  <si>
    <t>Assigned Funds - Major Equipment 2019 - hard drives for security cameras (PO 2019-79)</t>
  </si>
  <si>
    <t>6110-12 - business cards (CLindquist)</t>
  </si>
  <si>
    <t>6110-12 - refund on damaged item</t>
  </si>
  <si>
    <t>6110-12 - business cards (BHarris)</t>
  </si>
  <si>
    <t>6110-12 - office supplies - Badges</t>
  </si>
  <si>
    <t>6110-12 Quartet Magnetic Combination Board with Cork Border 3x2 Black Frame</t>
  </si>
  <si>
    <t xml:space="preserve">6110-12 " 21x10"" white magnetic sign with black, red &amp; blue vinyl film lettering / graphics. "			</t>
  </si>
  <si>
    <t>6110-12 - Christmas Decorations - Poinsettias</t>
  </si>
  <si>
    <t>6-742-45318</t>
  </si>
  <si>
    <t>26312</t>
  </si>
  <si>
    <t>25847</t>
  </si>
  <si>
    <t>09.2017</t>
  </si>
  <si>
    <t>6-711-20472</t>
  </si>
  <si>
    <t>6120-1 refund postage</t>
  </si>
  <si>
    <t>6120-1 - postage - 100</t>
  </si>
  <si>
    <t>6120-16 - postage</t>
  </si>
  <si>
    <t>25846</t>
  </si>
  <si>
    <t>6130-1 - laser printing - 1,052</t>
  </si>
  <si>
    <t>6130-1 - rendering - 100</t>
  </si>
  <si>
    <t>6130-1 - paper for laser printing - 526</t>
  </si>
  <si>
    <t>6130-1 - 1st insert - 100</t>
  </si>
  <si>
    <t>6130-4 - envelopes - 100</t>
  </si>
  <si>
    <t>6130-5 - Laser printing R&amp;R - 100</t>
  </si>
  <si>
    <t>6130-1 - Presort - 95</t>
  </si>
  <si>
    <t>30758</t>
  </si>
  <si>
    <t>30824</t>
  </si>
  <si>
    <t>17TY-YXR7-KY6H</t>
  </si>
  <si>
    <t>11XN-DV7T-YCNJ</t>
  </si>
  <si>
    <t>6160-6 Cable Matters 2 Pack 90° Angle USB Adapter Part: FBA_202032x2   ASIN: B00J4NLOOU</t>
  </si>
  <si>
    <t>6160-10 DYMO Label Maker 160 Part: 1790415   ASIN: B005X9VZ70</t>
  </si>
  <si>
    <t>6160-10 DYMO Label Printer 450 Part: 1752264   ASIN: B0027JBLV4</t>
  </si>
  <si>
    <t>6160-6 Cup Holder Tablet Mount    ASIN: B07TD45LLS</t>
  </si>
  <si>
    <t>6160-12 Galaxy A10e phone Case ASIN B07T2FTT54</t>
  </si>
  <si>
    <t>6160-12 Microsoft P3Q-00001 Wireless display adaptor ASIN B01AZC3J3M UNSPSC 43202222</t>
  </si>
  <si>
    <t>6160-12 OMOTON 3pack surface screen protectors ASIN B07WNMHXGW UNSPSC 43191601</t>
  </si>
  <si>
    <t>GALB</t>
  </si>
  <si>
    <t>A44763803</t>
  </si>
  <si>
    <t>200013756</t>
  </si>
  <si>
    <t>10062</t>
  </si>
  <si>
    <t>2V7KZ</t>
  </si>
  <si>
    <t>R83YZ2</t>
  </si>
  <si>
    <t>C44763804</t>
  </si>
  <si>
    <t>56146</t>
  </si>
  <si>
    <t>00812C</t>
  </si>
  <si>
    <t>00814C</t>
  </si>
  <si>
    <t>114460</t>
  </si>
  <si>
    <t>597070</t>
  </si>
  <si>
    <t>1400</t>
  </si>
  <si>
    <t>1400.tokens</t>
  </si>
  <si>
    <t>61</t>
  </si>
  <si>
    <t>01222C</t>
  </si>
  <si>
    <t>09122019</t>
  </si>
  <si>
    <t>1097778.1</t>
  </si>
  <si>
    <t>SCMTUG</t>
  </si>
  <si>
    <t>SCMTUG-SAM</t>
  </si>
  <si>
    <t>200004</t>
  </si>
  <si>
    <t>601710</t>
  </si>
  <si>
    <t>09.2018</t>
  </si>
  <si>
    <t>10.01.2019</t>
  </si>
  <si>
    <t>renewal.19.VNL</t>
  </si>
  <si>
    <t>100119</t>
  </si>
  <si>
    <t>00133J</t>
  </si>
  <si>
    <t>327</t>
  </si>
  <si>
    <t>317</t>
  </si>
  <si>
    <t>224</t>
  </si>
  <si>
    <t>4603738</t>
  </si>
  <si>
    <t>00299J</t>
  </si>
  <si>
    <t>IN5750588</t>
  </si>
  <si>
    <t>606055</t>
  </si>
  <si>
    <t>200014256</t>
  </si>
  <si>
    <t>200014268</t>
  </si>
  <si>
    <t>10082019</t>
  </si>
  <si>
    <t>11.18.2019</t>
  </si>
  <si>
    <t>11.2019</t>
  </si>
  <si>
    <t>610607</t>
  </si>
  <si>
    <t>renewal.19.CBC</t>
  </si>
  <si>
    <t>Short Stop</t>
  </si>
  <si>
    <t>David Daniell</t>
  </si>
  <si>
    <t>Publican</t>
  </si>
  <si>
    <t>The Works</t>
  </si>
  <si>
    <t>Earl Campbell</t>
  </si>
  <si>
    <t>Embassy Suites Hotels</t>
  </si>
  <si>
    <t>Zappi's Pizzeria</t>
  </si>
  <si>
    <t>Corey Bounds</t>
  </si>
  <si>
    <t>Rodeo Goat</t>
  </si>
  <si>
    <t>Hampton Inn</t>
  </si>
  <si>
    <t>Ferris Wheelers</t>
  </si>
  <si>
    <t>James Griner</t>
  </si>
  <si>
    <t>RTIC.com</t>
  </si>
  <si>
    <t>Lyle Wright</t>
  </si>
  <si>
    <t>Rudy's</t>
  </si>
  <si>
    <t>6210-24 - TAAD legislative uber trip</t>
  </si>
  <si>
    <t>6210-34 - Class IV Exam - AMetcalfe</t>
  </si>
  <si>
    <t>6210-28 - USPAP online Refresher - CConnelly</t>
  </si>
  <si>
    <t>6210-19 - CCP Council presentation dinner - ARL</t>
  </si>
  <si>
    <t>6210-24 - refund of hotel charges</t>
  </si>
  <si>
    <t>6210-20 - Airlines - TAAD Budget Committee - CBC</t>
  </si>
  <si>
    <t>6210-34 - Class IV Exam - CBounds</t>
  </si>
  <si>
    <t>6210-29 - lodging - 1/2 room - Griner</t>
  </si>
  <si>
    <t>6210-31 - legal seminar - TAMU - reimbursement lodging, mileage</t>
  </si>
  <si>
    <t>6210-10 - IAAO Conference - lunch - ARL &amp; CBC</t>
  </si>
  <si>
    <t>6210-10 - IAAO Conference - dinner - ARL &amp; CBC</t>
  </si>
  <si>
    <t>6210-10 - IAAO Conference - breakfast - ARL &amp; CBC</t>
  </si>
  <si>
    <t>6210-28 - Ethics - BMorrison</t>
  </si>
  <si>
    <t>6210-10 - IAAO Conference - ARL lodging</t>
  </si>
  <si>
    <t>6210-10 - IAAO Conference - ARL - tokens</t>
  </si>
  <si>
    <t>6210-10 International Transaction Fee</t>
  </si>
  <si>
    <t>6210-10 - IAAO Conference - dinner - ARL</t>
  </si>
  <si>
    <t>6210-10 - IAAO Conference - parking - ARL</t>
  </si>
  <si>
    <t>6210-10 - IAAO Conference - Shuttle from hotel to airport - ARL</t>
  </si>
  <si>
    <t>6210-11 - Airlines - IAAO Legal Seminar - Phoenix - ARL</t>
  </si>
  <si>
    <t>6210-11 - Airlines - IAAO Legal Seminar - Phoenix - SAM</t>
  </si>
  <si>
    <t>6210-20 - Dir/mgr mtg luncheon</t>
  </si>
  <si>
    <t>6210-28 - TAAD State Course - SAM</t>
  </si>
  <si>
    <t>6210-34 - reimbursement - State RPA exam fee</t>
  </si>
  <si>
    <t>6210-28 - Course 30 - JMiller</t>
  </si>
  <si>
    <t>6210-28 - Course 30 - KMcDade</t>
  </si>
  <si>
    <t>6210-13 - IAAO Course 300 - ABayler</t>
  </si>
  <si>
    <t>6210-13 - IAAO Course 300 - VLongstreth</t>
  </si>
  <si>
    <t>6210-33 - License renewal - VLongstreth</t>
  </si>
  <si>
    <t>6210-28 - Deeds, Records &amp; Title Transfers - MMoore</t>
  </si>
  <si>
    <t>6210-28 - Deeds, Records &amp; Title Transfers - EPugh</t>
  </si>
  <si>
    <t>6210-20 - iSolved Connect Conf - reimbursement mileage &amp; parking</t>
  </si>
  <si>
    <t>6210-26 - TAAD - BPP Seminar - 4 ees</t>
  </si>
  <si>
    <t>6210-26 - TAAD - BPP Seminar - JGriner</t>
  </si>
  <si>
    <t>6210-26 - TAAD - BPP Seminar - AMetcalfe</t>
  </si>
  <si>
    <t>6210-26 - TAAD - BPP Seminar - GGarcia &amp; LWright</t>
  </si>
  <si>
    <t>6210-26 - TAAD Seminar - BPP in Dallas - reimbursement mileage</t>
  </si>
  <si>
    <t>6210-4 20oz Tumbler, Black, Matte</t>
  </si>
  <si>
    <t>6210-4 shipping</t>
  </si>
  <si>
    <t>6210-28 - Ethics Seminar - LAP</t>
  </si>
  <si>
    <t>6210-28 - State Course - USPAP Refresher - SAM</t>
  </si>
  <si>
    <t>6210-28 - Course 32 - USPAP - CLindquist</t>
  </si>
  <si>
    <t>6210-28 - Wildlife Appraisal - CManas</t>
  </si>
  <si>
    <t>6210-28 - Course 203 - HHayden</t>
  </si>
  <si>
    <t>6210-28 - Course 31 - CVasquez</t>
  </si>
  <si>
    <t>6210-28 - Course 31 - CManas</t>
  </si>
  <si>
    <t>6210-28 - Course 4 - RMata</t>
  </si>
  <si>
    <t>6210-28 - Course 101 - AGarland</t>
  </si>
  <si>
    <t>6210-28 - Course 101 - KMcDade</t>
  </si>
  <si>
    <t>6210-28 - Course 102 - AGarland</t>
  </si>
  <si>
    <t>6210-28 - Course 102 - KMcDade</t>
  </si>
  <si>
    <t>6210-28 - Seminar - Exemption Admin - JGriner</t>
  </si>
  <si>
    <t>6210-28 - Seminar - Exemption Admin - MMoore</t>
  </si>
  <si>
    <t>6210-28 - Seminar - Exemption Admin - JNovak</t>
  </si>
  <si>
    <t>6210-28 - State Course Reimbursement meals</t>
  </si>
  <si>
    <t>6210-4 Thanksgiving Luncheon</t>
  </si>
  <si>
    <t>6210-28 - Ethics Seminar - SMH</t>
  </si>
  <si>
    <t>6210-33 - License renewal - CBConnelly</t>
  </si>
  <si>
    <t>6210-9 - staff team building</t>
  </si>
  <si>
    <t>25533902</t>
  </si>
  <si>
    <t>28AR182028</t>
  </si>
  <si>
    <t>25721189</t>
  </si>
  <si>
    <t>0365937091119</t>
  </si>
  <si>
    <t>091919</t>
  </si>
  <si>
    <t>2787230258338x092719</t>
  </si>
  <si>
    <t>09192019</t>
  </si>
  <si>
    <t>I2019100101371</t>
  </si>
  <si>
    <t>092819</t>
  </si>
  <si>
    <t>7990076691909</t>
  </si>
  <si>
    <t>10042019</t>
  </si>
  <si>
    <t>0104757100719</t>
  </si>
  <si>
    <t>0365937101019</t>
  </si>
  <si>
    <t>I2019110101368</t>
  </si>
  <si>
    <t>10252019</t>
  </si>
  <si>
    <t>6220-5 - LDC - September 2019</t>
  </si>
  <si>
    <t>6220-6 - adjustment</t>
  </si>
  <si>
    <t>23079</t>
  </si>
  <si>
    <t>162492491</t>
  </si>
  <si>
    <t>SCPAY00121261</t>
  </si>
  <si>
    <t>814297</t>
  </si>
  <si>
    <t>45201</t>
  </si>
  <si>
    <t>6867062</t>
  </si>
  <si>
    <t>23028</t>
  </si>
  <si>
    <t>23133</t>
  </si>
  <si>
    <t>30641</t>
  </si>
  <si>
    <t>SCPAY00121973</t>
  </si>
  <si>
    <t>6867208</t>
  </si>
  <si>
    <t>1435</t>
  </si>
  <si>
    <t>163021295</t>
  </si>
  <si>
    <t>27399</t>
  </si>
  <si>
    <t>8126646</t>
  </si>
  <si>
    <t>4693027</t>
  </si>
  <si>
    <t>31107</t>
  </si>
  <si>
    <t>B&amp;H</t>
  </si>
  <si>
    <t>ASSIGNED FUNDS - Synology RS2818RP+ NAS Server w/No Drives BH #: SYRS2818RPP  MFR #: RS2818RP+</t>
  </si>
  <si>
    <t>ASSIGNED FUNDS - Synology D4N2133-4G DDR4 Non-ECC UDIMM 4GB B&amp;H #SYD4N21334G • MFR #D4N2133-4G</t>
  </si>
  <si>
    <t>6225-17 41' Roll Sticky Back Hook &amp; Loop Fasteners Part: velcrotape-2bw-us-a   ASIN: B07NRXN8RG</t>
  </si>
  <si>
    <t>6225-17 Craftsman 8 Piece Phillips &amp; Sloted Screwdrivers Part: 9-47136   ASIN: 9-47136</t>
  </si>
  <si>
    <t>ASSIGNED FUNDS - Seagate IronWolf 12TB NAS HDD Model: ST12000VNZ007  ASIN: B07H241VJY</t>
  </si>
  <si>
    <t>6225-24 - copper based liquid algaecide</t>
  </si>
  <si>
    <t>6225-14 - Irrigation repair</t>
  </si>
  <si>
    <t>6225-6 - Janitorial services - October 2019</t>
  </si>
  <si>
    <t>6225-19 - pest services - tiny ants in cubicle</t>
  </si>
  <si>
    <t>ASSIGNED FUNDS - Mobotix M16 Outdoor Camera, Dual 6MP Sensors 103° View Day/Night Lens w/Onboard...</t>
  </si>
  <si>
    <t xml:space="preserve">ASSIGNED FUNDS -  Vivotek MA8391-ETV 4 x 3MP Sensors, 360° 		</t>
  </si>
  <si>
    <t xml:space="preserve">ASSIGNED FUNDS - Vivotek Corner Mount Adapter	</t>
  </si>
  <si>
    <t>ASSIGNED FUNDS - Vivotek Wall Mount Bracket</t>
  </si>
  <si>
    <t>ASSIGNED FUNDS - Vivotek Junction Box</t>
  </si>
  <si>
    <t>ASSIGNED FUNDS - Mobotix D26 Exterior Camera, Single 6MP Sensor 90°  View, Onboard Recording</t>
  </si>
  <si>
    <t>ASSIGNED FUNDS - Mobotix Overvoltage Protection Module</t>
  </si>
  <si>
    <t xml:space="preserve">ASSIGNED FUNDS - Ubiquiti UniFi 16 Port POE Switch			  </t>
  </si>
  <si>
    <t>ASSIGNED FUNDS - Boom Lift (1 Day Rental)</t>
  </si>
  <si>
    <t>ASSIGNED FUNDS - CAT6 Ethernet Wire &amp; Connectors</t>
  </si>
  <si>
    <t xml:space="preserve">ASSIGNED FUNDS - Everfocus PoE-over-COAX Adapter Set			  </t>
  </si>
  <si>
    <t xml:space="preserve">ASSIGNED FUNDS - Install Labor			</t>
  </si>
  <si>
    <t>6225-17 -1 U brush grommet panel</t>
  </si>
  <si>
    <t>6225-17 -5 pack of 4U panels</t>
  </si>
  <si>
    <t>6225-17 -5 pack of 1U panels</t>
  </si>
  <si>
    <t>6225-17 -2 pack of 2U panels</t>
  </si>
  <si>
    <t>6225-6 - Janitorial services - November 2019</t>
  </si>
  <si>
    <t>Assigned Funds - roof repair &amp; maintenance</t>
  </si>
  <si>
    <t>Assigned Funds - Electrical work - Fire Suppression Project</t>
  </si>
  <si>
    <t>Assigned Funds - Fire Suppression</t>
  </si>
  <si>
    <t>02879C</t>
  </si>
  <si>
    <t>00411C</t>
  </si>
  <si>
    <t>00533C</t>
  </si>
  <si>
    <t>2713019</t>
  </si>
  <si>
    <t>Jack Allen's Kitchen</t>
  </si>
  <si>
    <t>Jaiwai Thai Kitchen</t>
  </si>
  <si>
    <t>6236-1 - BOD Luncheon - ARL, CChadwell, DHisle</t>
  </si>
  <si>
    <t>6236-1 - BOD Luncheon - ARL, HGibbs, CConnelly</t>
  </si>
  <si>
    <t>6236-1 - BOD Luncheon - ARL, JJewitt, RHoneycutt</t>
  </si>
  <si>
    <t>6236-1 20 oz. Tumbler</t>
  </si>
  <si>
    <t>217456</t>
  </si>
  <si>
    <t>C75835C-006</t>
  </si>
  <si>
    <t>110066887-1</t>
  </si>
  <si>
    <t>6330-7 - ARB appointments Ad - 2019</t>
  </si>
  <si>
    <t>6240-13 - publicatin - job posting - public services tech</t>
  </si>
  <si>
    <t>678157364</t>
  </si>
  <si>
    <t>678157335</t>
  </si>
  <si>
    <t>678158388</t>
  </si>
  <si>
    <t>4WNXB</t>
  </si>
  <si>
    <t>TX02-19-0812-000</t>
  </si>
  <si>
    <t>TX02-19-0813-000</t>
  </si>
  <si>
    <t>TX02-19-0814-000</t>
  </si>
  <si>
    <t>TX02-19-0815-000</t>
  </si>
  <si>
    <t>DJN&amp;X</t>
  </si>
  <si>
    <t>19-12774</t>
  </si>
  <si>
    <t>13070</t>
  </si>
  <si>
    <t>09262019</t>
  </si>
  <si>
    <t>1130</t>
  </si>
  <si>
    <t>6294</t>
  </si>
  <si>
    <t>54134101719</t>
  </si>
  <si>
    <t>16-0823-C425</t>
  </si>
  <si>
    <t>Stevann S. Wilson</t>
  </si>
  <si>
    <t>Lakeside Mediation Center</t>
  </si>
  <si>
    <t>6260-9 - Background Checks - DSmith</t>
  </si>
  <si>
    <t>6260-9 - Background Checks - SCrone</t>
  </si>
  <si>
    <t>6260-9 - background check - SCrone</t>
  </si>
  <si>
    <t>6260-9 - refund report</t>
  </si>
  <si>
    <t>6260-10 - Expert 2017 Mkt Rpt - Kohls - 17-1178-C368 (R466693)</t>
  </si>
  <si>
    <t>6260-10 - Expert 2017 Mkt Rpt - Kohls - 17-1178-C368 (R414061)</t>
  </si>
  <si>
    <t>6260-10 - Expert 2017 Mkt Rpt - Kohls - 17-1178-C368 (R417193)</t>
  </si>
  <si>
    <t>6260-10 - Expert 2017 Mkt Rpt - Kohls - 17-1178-C368 (R489772)</t>
  </si>
  <si>
    <t>6260-10 - Mediation - St Davids Healthcare (6 cases)</t>
  </si>
  <si>
    <t>6260-10 - 2017 Appraisal Review - Kohls 17-1178-C368</t>
  </si>
  <si>
    <t>6260-10 - Mediation - Costco</t>
  </si>
  <si>
    <t>6260-10 - professional services - August Expenses</t>
  </si>
  <si>
    <t>1554268313</t>
  </si>
  <si>
    <t>25060049</t>
  </si>
  <si>
    <t>P1-52807474</t>
  </si>
  <si>
    <t>D52780M-I336652</t>
  </si>
  <si>
    <t>GoDaddy.com</t>
  </si>
  <si>
    <t>Digium</t>
  </si>
  <si>
    <t>6280-30 - Standard SSL Renewal</t>
  </si>
  <si>
    <t xml:space="preserve">6280-30 Renewal of WCAD.ORG			  Order Number: 982556500		</t>
  </si>
  <si>
    <t>6280-28 - QB Version Protection</t>
  </si>
  <si>
    <t>6280-28 - QB Payroll Annual</t>
  </si>
  <si>
    <t>6280-16 Dell PowerEdge 730 (OROINDB) Support cover to 3/20</t>
  </si>
  <si>
    <t>6280-15 1 Year Switchvox Gold Support Subscription Part Number: 1SWXGSUB1R</t>
  </si>
  <si>
    <t>6280-14 1 Year Updates and Maintenance for Switchvox God Subscriptions Part Number: 1SWXSMBR</t>
  </si>
  <si>
    <t>008-010</t>
  </si>
  <si>
    <t>008-011</t>
  </si>
  <si>
    <t>renwal.2019</t>
  </si>
  <si>
    <t>TML Intergovernmental Risk Pool</t>
  </si>
  <si>
    <t>6290-1 - Automobile Liability</t>
  </si>
  <si>
    <t>6290-3 - Errors &amp; Omission</t>
  </si>
  <si>
    <t>6290-4 - General Liability</t>
  </si>
  <si>
    <t>6290-2 - Crime Pub Emp Dis</t>
  </si>
  <si>
    <t>6290-5 - Real &amp; Pers Prop</t>
  </si>
  <si>
    <t>6290-4 - Liab 2% pre-pay disc</t>
  </si>
  <si>
    <t>6290-3 - Prop 2% pre-pay disc</t>
  </si>
  <si>
    <t>6290-1 - Auto 2% pre-pay disc</t>
  </si>
  <si>
    <t>6290-5 - Real &amp; Pers Prop 2% pre-pay disc</t>
  </si>
  <si>
    <t>6290-2 - Crime 2% pre-pay disc</t>
  </si>
  <si>
    <t>R26757</t>
  </si>
  <si>
    <t>R41210</t>
  </si>
  <si>
    <t>R55690</t>
  </si>
  <si>
    <t>47979</t>
  </si>
  <si>
    <t>47977</t>
  </si>
  <si>
    <t>8010-4 Server 2019 48 core license for 6 virtual machine</t>
  </si>
  <si>
    <t>8010-5 Vmware vSpehere 6 Essentials Plus Kit for 3 Hosts + 1 year basic support</t>
  </si>
  <si>
    <t>3rd.qtr.19</t>
  </si>
  <si>
    <t>5675</t>
  </si>
  <si>
    <t>6330-7 - ARB Ad</t>
  </si>
  <si>
    <t>4606</t>
  </si>
  <si>
    <t>6350-1 - ARB legal services</t>
  </si>
  <si>
    <t>390711063001</t>
  </si>
  <si>
    <t>390711406001</t>
  </si>
  <si>
    <t>1281017</t>
  </si>
  <si>
    <t>3534620</t>
  </si>
  <si>
    <t>393083576001</t>
  </si>
  <si>
    <t>80490</t>
  </si>
  <si>
    <t>80499</t>
  </si>
  <si>
    <t>171353</t>
  </si>
  <si>
    <t>80539</t>
  </si>
  <si>
    <t>7287</t>
  </si>
  <si>
    <t>80737</t>
  </si>
  <si>
    <t>201996</t>
  </si>
  <si>
    <t>398907257001</t>
  </si>
  <si>
    <t>80911</t>
  </si>
  <si>
    <t>6110-12 - business cards (AUrbanek)</t>
  </si>
  <si>
    <t>6110-12 - business cards (DArrieta)</t>
  </si>
  <si>
    <t>6110-5 - Name badges</t>
  </si>
  <si>
    <t>6110-12 - business cards (LyleW, AmberM, GilbertoG)</t>
  </si>
  <si>
    <t>6110-12 Custom engraved ADA Room ID signs. Room name "cover ups" for existing signs at WCAD. Chi...</t>
  </si>
  <si>
    <t>6110-12 Blank room name "cover ups"</t>
  </si>
  <si>
    <t>6110-12 Trip, materials, and labor for sign install</t>
  </si>
  <si>
    <t>6110-12 - business cards (ALankford)</t>
  </si>
  <si>
    <t>6110-12 - business cards (MPage)</t>
  </si>
  <si>
    <t>6110-12 - business cards (DBlaylock)</t>
  </si>
  <si>
    <t>6110-12 - business cards (DScott)</t>
  </si>
  <si>
    <t>6110-11 Sokkia 100' Appraisers Tape Refill in Inches w/Hook End - 845184</t>
  </si>
  <si>
    <t>6110-12 - business cards (HMarin)</t>
  </si>
  <si>
    <t>0011309</t>
  </si>
  <si>
    <t>0248929</t>
  </si>
  <si>
    <t>Hull Supply</t>
  </si>
  <si>
    <t>Building repair &amp; maintenance</t>
  </si>
  <si>
    <t>25922</t>
  </si>
  <si>
    <t>80565455577</t>
  </si>
  <si>
    <t>4127298</t>
  </si>
  <si>
    <t>1QQD-WMN9-XJXJ</t>
  </si>
  <si>
    <t>6150-10 APC AP7811</t>
  </si>
  <si>
    <t>6150-9 Insignia 18.1 Cu. Ft. Refrigerator Model NS-RTM18WH8Q   SKU: 583109</t>
  </si>
  <si>
    <t>6150-9 - removal of old refrigerator</t>
  </si>
  <si>
    <t>6150-6 - Microsoft Surface Pro X - 13", 8GB RAM, 128GB SSD Item: BB21404613   Manufacturer: JQG-...</t>
  </si>
  <si>
    <t>6150-6 - Shipping</t>
  </si>
  <si>
    <t>6150-9 Plantronics CS530 Wireless Headset B0082DCPQ4</t>
  </si>
  <si>
    <t xml:space="preserve">6150-9 Plantronics EHS Cable APP-51 B007IP8NNQ 			</t>
  </si>
  <si>
    <t>6150-4 HP Color Laserjet Pro M180nw All in One Wireless Color Laser Printer B073RFXMWP</t>
  </si>
  <si>
    <t>2764265</t>
  </si>
  <si>
    <t>6160-10 Unitek USB C Card Reader Item: Y-9324BGY   ASIN: B06XSSHZ63</t>
  </si>
  <si>
    <t>Minor Equipment</t>
  </si>
  <si>
    <t>6160-10 Belkin BE10600 Surge Protector 10' B003OBSN7Y</t>
  </si>
  <si>
    <t>6160-10 DP to DP Cable 10' B00TTQ306M</t>
  </si>
  <si>
    <t>6160-16 10PCS 1GB USB 2.0 Flash Drive B015SI4KKE</t>
  </si>
  <si>
    <t>6160-16 Kingston 64GB 3.0 Flash Drive B00SOL9Z1M</t>
  </si>
  <si>
    <t>6160-16 Kingston 32GB 3.0 Flash Drive B00SOL9ZLC</t>
  </si>
  <si>
    <t>20-27382570</t>
  </si>
  <si>
    <t>W52588020</t>
  </si>
  <si>
    <t>12022019</t>
  </si>
  <si>
    <t>57917</t>
  </si>
  <si>
    <t>57918</t>
  </si>
  <si>
    <t>661520001</t>
  </si>
  <si>
    <t>805620001</t>
  </si>
  <si>
    <t>805320001</t>
  </si>
  <si>
    <t>957020001</t>
  </si>
  <si>
    <t>154920001</t>
  </si>
  <si>
    <t>875620001</t>
  </si>
  <si>
    <t>661620001</t>
  </si>
  <si>
    <t>661720001</t>
  </si>
  <si>
    <t>213620001</t>
  </si>
  <si>
    <t>282120001</t>
  </si>
  <si>
    <t>875720001</t>
  </si>
  <si>
    <t>102819</t>
  </si>
  <si>
    <t>612780</t>
  </si>
  <si>
    <t>10.2018</t>
  </si>
  <si>
    <t>WWTQ28</t>
  </si>
  <si>
    <t>40040230467</t>
  </si>
  <si>
    <t>10190224</t>
  </si>
  <si>
    <t>957120001</t>
  </si>
  <si>
    <t>notary.karg.2019</t>
  </si>
  <si>
    <t>renewal.19.BAM</t>
  </si>
  <si>
    <t>license.HJM.2019</t>
  </si>
  <si>
    <t>11132019</t>
  </si>
  <si>
    <t>109310</t>
  </si>
  <si>
    <t>The University of Texas at Austin</t>
  </si>
  <si>
    <t>Stephan Crone</t>
  </si>
  <si>
    <t>Victor N Longstreth</t>
  </si>
  <si>
    <t>Omni Hotels</t>
  </si>
  <si>
    <t>Round Rock Chamber</t>
  </si>
  <si>
    <t>6210-20 - Seminar - Transitioning to Supervisor - SHD</t>
  </si>
  <si>
    <t>6210-4 - End of year gifts for EE</t>
  </si>
  <si>
    <t>6210-28 - Course 101 - ARompala</t>
  </si>
  <si>
    <t>6210-28 - Course 102 - ARompala</t>
  </si>
  <si>
    <t>6210-11 - Legal seminar registration - ARLankford</t>
  </si>
  <si>
    <t>6210-11 - Legal seminar registration - Aaron Moore</t>
  </si>
  <si>
    <t>6210-22 - Jessica Miller</t>
  </si>
  <si>
    <t>6210-22 - Alvin Lankford</t>
  </si>
  <si>
    <t>6210-22 - Chris Connelly</t>
  </si>
  <si>
    <t>6210-22 - Aaron Moore</t>
  </si>
  <si>
    <t>6210-22 - KC McDade</t>
  </si>
  <si>
    <t>6210-22 - Aaron Stenulson</t>
  </si>
  <si>
    <t>6210-22 - Victor Longstreth</t>
  </si>
  <si>
    <t>6210-22 - Denise Brandon</t>
  </si>
  <si>
    <t>6210-22 - Amy Urbanek</t>
  </si>
  <si>
    <t>6210-22 - Rae Wilhite</t>
  </si>
  <si>
    <t>6210-22 - Pam Metcalfe</t>
  </si>
  <si>
    <t>6210-28 - State on-line course - CVasquez</t>
  </si>
  <si>
    <t>6210-12 - Membership renewal - David Daniell</t>
  </si>
  <si>
    <t>6210-12 - Membership renewal - Alvin Lankford</t>
  </si>
  <si>
    <t>6210-12 - CAE Designation</t>
  </si>
  <si>
    <t>6210-12 - AAS Designation</t>
  </si>
  <si>
    <t>6210-12 - Membership renewal - Chris Connelly</t>
  </si>
  <si>
    <t>6210-12 - CAE Designatino</t>
  </si>
  <si>
    <t>6210-12 - AAS Designatin</t>
  </si>
  <si>
    <t>6210-12 - Membership renewal - James Griner</t>
  </si>
  <si>
    <t>6210-12 - Membership renewal - KC McDade</t>
  </si>
  <si>
    <t>6210-12 - CMS Designation</t>
  </si>
  <si>
    <t>6210-12 - Membership renewal - Pam Metcalfe</t>
  </si>
  <si>
    <t>6210-12 - Membership renewal - Aaron Moore</t>
  </si>
  <si>
    <t>6210-12 - Membership renewal - Stephanie Heatley-Dugger</t>
  </si>
  <si>
    <t>6210-12 - Membership renewal - Aaron Stenulson</t>
  </si>
  <si>
    <t>6210-12 - Membership renewal - John Robins III</t>
  </si>
  <si>
    <t>6210-12 - RES Designation</t>
  </si>
  <si>
    <t>6210-12 - Membership renewal - Richard Quinlan</t>
  </si>
  <si>
    <t>6210-12 - Membership renewal - Amy Urbanek</t>
  </si>
  <si>
    <t>6210-12 - Membership renewal - Jessica Miller</t>
  </si>
  <si>
    <t>6210-12 - Membership renewal - Amanda Bayler</t>
  </si>
  <si>
    <t>6210-12 - Membership renewal - Victor Longstreth</t>
  </si>
  <si>
    <t>6210-12 - Membership - Charles Vasquez</t>
  </si>
  <si>
    <t>6210-12 - Membership Discount</t>
  </si>
  <si>
    <t>6210-13 - IAAO Course 300 - reimbursement meals</t>
  </si>
  <si>
    <t>6210-28 - State Course - meal reimbursement</t>
  </si>
  <si>
    <t>6210-13 - IAAO Course - meal reimbursement</t>
  </si>
  <si>
    <t>6210-7 - Airfare to Louisville KY - GIS/Val Tech Conf (GIS/CAMA Conf) - CBC</t>
  </si>
  <si>
    <t>6210-7 - GIS/Valuation Conf - Lodging Louisville KY - CBC</t>
  </si>
  <si>
    <t>6210-7 - GIS/Valuation Conf - Lodging Louisville KY - ARL</t>
  </si>
  <si>
    <t>6210-7 - GIS/Valuation Conf - Lodging Louisville KY - CAV</t>
  </si>
  <si>
    <t>6210-13 - Webinar - Exposing the Dark to Light: the Geography of Dark Stores - StephanieHD</t>
  </si>
  <si>
    <t>6210-22 - Angie Lugo</t>
  </si>
  <si>
    <t>6210-21 - Notary licenses &amp; supplies - KGamboa</t>
  </si>
  <si>
    <t>6210-33 - License renewal - BAMorrison</t>
  </si>
  <si>
    <t>6210-33 - License application - Hiran Marin</t>
  </si>
  <si>
    <t>6210-28 - Course 203 - Steve Crone</t>
  </si>
  <si>
    <t>6210-20 - Leadership Round Rock</t>
  </si>
  <si>
    <t>6210-19 - TAAD Legislative Com mtg - Dallas - mileage reimbursement</t>
  </si>
  <si>
    <t>N7991271</t>
  </si>
  <si>
    <t>28AR187662</t>
  </si>
  <si>
    <t>25907574</t>
  </si>
  <si>
    <t>101919</t>
  </si>
  <si>
    <t>2787230258338x102719</t>
  </si>
  <si>
    <t>102019</t>
  </si>
  <si>
    <t>11252019</t>
  </si>
  <si>
    <t>7990076691910</t>
  </si>
  <si>
    <t>193848</t>
  </si>
  <si>
    <t>9839841184</t>
  </si>
  <si>
    <t>11042019</t>
  </si>
  <si>
    <t>0104757110719</t>
  </si>
  <si>
    <t>0365937111019</t>
  </si>
  <si>
    <t>I2019120101366</t>
  </si>
  <si>
    <t>12252019</t>
  </si>
  <si>
    <t>The MoboMix</t>
  </si>
  <si>
    <t>6220-5 - LDC - October 2019</t>
  </si>
  <si>
    <t>23336</t>
  </si>
  <si>
    <t>4360095</t>
  </si>
  <si>
    <t>4360092</t>
  </si>
  <si>
    <t>17478548</t>
  </si>
  <si>
    <t>45498</t>
  </si>
  <si>
    <t>10312019</t>
  </si>
  <si>
    <t>10312019.1</t>
  </si>
  <si>
    <t>SCPAY00122613</t>
  </si>
  <si>
    <t>23585</t>
  </si>
  <si>
    <t>SRVCE00275553</t>
  </si>
  <si>
    <t>27508</t>
  </si>
  <si>
    <t>815685</t>
  </si>
  <si>
    <t xml:space="preserve"> Assigned Funds - Fire suppression</t>
  </si>
  <si>
    <t>6225-17 WD-40 8 Ounce Can Part: 490026   ASIN: B00HEVD89S</t>
  </si>
  <si>
    <t>6225-17 Scotch Mounting Tape .5" x 75" - 3 Pack Part: 110P   ASIN: B07MNJ1L3Z</t>
  </si>
  <si>
    <t>6225-17 Gorilla Tape, Black Duct Tape - 3 Pack Part: 6003516   ASIN: B01M72J2EY</t>
  </si>
  <si>
    <t>6225-17 - Building repair &amp; maintenance</t>
  </si>
  <si>
    <t>6225-16 - Building repair &amp; maintenance</t>
  </si>
  <si>
    <t>6225-16 NGP 97V 36" Sweep x STD/TEK *Door Sweeps Item: 97V-036   Bin: CG-02F-B01</t>
  </si>
  <si>
    <t>6225-16 RAC 487 CLR Door Stop 9'2 *Frame Door Stop Item: EX540487CLR092   Bin: RC-SHP-5C</t>
  </si>
  <si>
    <t>6225-16 Labor - Remodel</t>
  </si>
  <si>
    <t>6225-10 - elevator inspection filing fee</t>
  </si>
  <si>
    <t>6225-17 Everpure EV961222 i2000 Filter B0045LQD6U</t>
  </si>
  <si>
    <t>6225-22 - GSM/cellular back up alarm monitoring 12/01/2019 - 11/30/2020</t>
  </si>
  <si>
    <t>110177878-1</t>
  </si>
  <si>
    <t>19-12815</t>
  </si>
  <si>
    <t>1137</t>
  </si>
  <si>
    <t>678378786</t>
  </si>
  <si>
    <t>AP-19-10</t>
  </si>
  <si>
    <t>107124</t>
  </si>
  <si>
    <t>19-12845</t>
  </si>
  <si>
    <t>0301</t>
  </si>
  <si>
    <t>286405</t>
  </si>
  <si>
    <t>11062019</t>
  </si>
  <si>
    <t>6365</t>
  </si>
  <si>
    <t>The Legal Connection Inc</t>
  </si>
  <si>
    <t>6260-10 - Appraisal Services - Indigo Apartments - 18-1034-C26</t>
  </si>
  <si>
    <t>6260-9 - background check - HMarin</t>
  </si>
  <si>
    <t>6260-10 - 2018/2019 - Equal &amp; Uniform Appraisal - 95twenty Apts R489030</t>
  </si>
  <si>
    <t>6260-10 - Deposition of PI's expert (Joe Torzewski) - Kohl's 17-1178-C368</t>
  </si>
  <si>
    <t>6260-10 - Read Kohl's review - 17-1178-C368</t>
  </si>
  <si>
    <t>6260-9 - Employment screening - HMarin</t>
  </si>
  <si>
    <t>6260-10 - Mediation - Randall's BPP (4 cases)</t>
  </si>
  <si>
    <t>6260-10 - professional services - September Expenses</t>
  </si>
  <si>
    <t>6260-10 - Mediation - CN Westinghouse Pointe Apts - 16-0823-C425</t>
  </si>
  <si>
    <t>500-50023918</t>
  </si>
  <si>
    <t>MN00000262</t>
  </si>
  <si>
    <t>28AR185742</t>
  </si>
  <si>
    <t>P1-53685636</t>
  </si>
  <si>
    <t>28AR189274</t>
  </si>
  <si>
    <t>49823</t>
  </si>
  <si>
    <t>Cisco Systems Capital Corporation</t>
  </si>
  <si>
    <t>6280-41 - Map Editor - Parcel building software - 2 @ 371.00</t>
  </si>
  <si>
    <t>6280-41 - Map Editor - Parcel building software - 3 @ 619.00</t>
  </si>
  <si>
    <t>6280-28 - maintenance</t>
  </si>
  <si>
    <t>6280-16 Availability Suite - Upfront Billing License (renewal)(1year) + Production Support - 10 ...</t>
  </si>
  <si>
    <t>6280-16 Cisco Amp for Endpoints 200 devices 3 year contract</t>
  </si>
  <si>
    <t>XK4X73CC3</t>
  </si>
  <si>
    <t>10.29.2019</t>
  </si>
  <si>
    <t>112019</t>
  </si>
  <si>
    <t>93735049</t>
  </si>
  <si>
    <t>iDRAC9 Enterprise, Perpetual, Digital License, All Poweredge platforms, cuskit</t>
  </si>
  <si>
    <t>6285-4 - direct deposit returned</t>
  </si>
  <si>
    <t>6285-10 - Computer licenses</t>
  </si>
  <si>
    <t>6285-10 ArcGIS Data Reviewer for Desktop Concurrent Use License</t>
  </si>
  <si>
    <t>Maintenance</t>
  </si>
  <si>
    <t>6310-4 - ARB Meeting - October 2019</t>
  </si>
  <si>
    <t>6310-2 - ARB Meeting - October 2019</t>
  </si>
  <si>
    <t>6310-3 - ARB Meeting - October 2019</t>
  </si>
  <si>
    <t>6310-5 - ARB Meeting - October 2019</t>
  </si>
  <si>
    <t>R70217</t>
  </si>
  <si>
    <t>XK4X5PJP7</t>
  </si>
  <si>
    <t>3522601</t>
  </si>
  <si>
    <t>Server Supply</t>
  </si>
  <si>
    <t>8010-3 iDRAC9 Enterprise, Perpetual, Digital License, All Poweredge platforms, cuskit</t>
  </si>
  <si>
    <t>8010-3 Dell R640 (oriondb replacement)</t>
  </si>
  <si>
    <t xml:space="preserve">8010-3 Dell A9781939 64GB 266MHZ PC4-21300 memory			</t>
  </si>
  <si>
    <t>8010-3 Cisco SFP-H10gb-CU3m 3m SFP cables</t>
  </si>
  <si>
    <t>8010-3 - new customer discount</t>
  </si>
  <si>
    <t>7119425</t>
  </si>
  <si>
    <t>25506556</t>
  </si>
  <si>
    <t>405810541001</t>
  </si>
  <si>
    <t>81144</t>
  </si>
  <si>
    <t>81145</t>
  </si>
  <si>
    <t>166980</t>
  </si>
  <si>
    <t>0466635</t>
  </si>
  <si>
    <t>4490614</t>
  </si>
  <si>
    <t>3955452</t>
  </si>
  <si>
    <t>00526G</t>
  </si>
  <si>
    <t>411251350001</t>
  </si>
  <si>
    <t>411489404001</t>
  </si>
  <si>
    <t>411491424001</t>
  </si>
  <si>
    <t>2479427</t>
  </si>
  <si>
    <t>1210613</t>
  </si>
  <si>
    <t>81434</t>
  </si>
  <si>
    <t>Minor equipment</t>
  </si>
  <si>
    <t>6110-12 - Name plates (SteveC, AshleyG, DerekS)</t>
  </si>
  <si>
    <t>6110-12 - Stamp (AshleyG)</t>
  </si>
  <si>
    <t xml:space="preserve">6110-12 DYMO Label Printer | LabelWriter 450 Turbo Direct Thermal Label Printer	</t>
  </si>
  <si>
    <t>6110-12 - business cards (SHD)</t>
  </si>
  <si>
    <t>BR 74001.2020</t>
  </si>
  <si>
    <t>BR 7400.2020</t>
  </si>
  <si>
    <t>0011402</t>
  </si>
  <si>
    <t>6-872-93446</t>
  </si>
  <si>
    <t>United States Postal Service</t>
  </si>
  <si>
    <t>6120-12 BRM Annual Maintenance - BR 74001</t>
  </si>
  <si>
    <t>6120-12 - BRM Permit # - BR 74000 - renewal fee 2020</t>
  </si>
  <si>
    <t>26030</t>
  </si>
  <si>
    <t>81221</t>
  </si>
  <si>
    <t>6130-19 - Survey cards - 500</t>
  </si>
  <si>
    <t>31703</t>
  </si>
  <si>
    <t>31704</t>
  </si>
  <si>
    <t>V19355881</t>
  </si>
  <si>
    <t>1651919246NTC</t>
  </si>
  <si>
    <t>V20054950</t>
  </si>
  <si>
    <t>4263389</t>
  </si>
  <si>
    <t>Meyer, Christopher R</t>
  </si>
  <si>
    <t>Moore, Samuel Aaron</t>
  </si>
  <si>
    <t>6150-5 Surface Pro Power Supply /Charger Model EADP-1800 44W  ASIN B07DQHVXL2</t>
  </si>
  <si>
    <t>6150-5 Right Angle USB Cable extender 1' 2 Pack Model CC0517 ASIN B01M1KKLS7</t>
  </si>
  <si>
    <t>6150-5 Surface Pro  case Unspsc code 43211620 ASIn: B07NYR9HZV</t>
  </si>
  <si>
    <t>6150-4 Brother wireless desktop scanner ADS2700W</t>
  </si>
  <si>
    <t>6150-4 Brother Desktop scanner ADS-2200</t>
  </si>
  <si>
    <t>6150-9 Fabric Black, Plywood Seat, Metal Frame Sled Base, 26" Wide x 24.8" Depth x 33.5" Height ...</t>
  </si>
  <si>
    <t>6150-6 Surface Laptop 3  I7 16gb ram</t>
  </si>
  <si>
    <t>6150-6 Surface Laptop 3 I5 8gb ram</t>
  </si>
  <si>
    <t>6150-6 Surface Docks</t>
  </si>
  <si>
    <t>6150-6 Geek Squad Commercial Protection</t>
  </si>
  <si>
    <t>6150-6 shipping</t>
  </si>
  <si>
    <t xml:space="preserve">6150-8 Windows 10 Pro upgrade 			</t>
  </si>
  <si>
    <t>6150-8 Laptop Backup with USB Charging Port Model: YK-006   ASIN: B07F2YJRN2</t>
  </si>
  <si>
    <t>6150-8 WiWU Gray Laptop Bag ASIN: B07X2PDTXP</t>
  </si>
  <si>
    <t>6150-17 LG 65" LED UM7300PUA Smart TB Model: 65UM7300PUA   SKU: 6336444</t>
  </si>
  <si>
    <t>6160-6 - Promo/Discount</t>
  </si>
  <si>
    <t>Reserves</t>
  </si>
  <si>
    <t>6150-9 - replacement of phone</t>
  </si>
  <si>
    <t>6150-9 - replacement of laptop</t>
  </si>
  <si>
    <t>0627331001</t>
  </si>
  <si>
    <t>14M6-VPDT-VCMP</t>
  </si>
  <si>
    <t>G2A7S9</t>
  </si>
  <si>
    <t>URBAN ARMOR GEAR, LLC.</t>
  </si>
  <si>
    <t>6160-10 BlueRigger DVI to HDMI cable 25' ASIN: B005LJQP0E Model: HDMI-DVI-BL-25FT</t>
  </si>
  <si>
    <t>6160-6 - Discount</t>
  </si>
  <si>
    <t>6160-6 Metropolis Series Surface Pro X Case SKU: 321786114040 https://urbanarmorgear.com</t>
  </si>
  <si>
    <t>6160-10 - refund</t>
  </si>
  <si>
    <t>6160-10 Mini DisplayPort to DisplayPort Cable 10 Feet Model: MDP2DP-C-10-B   ASIN: B07BS92N8Y</t>
  </si>
  <si>
    <t>6160-6 3 pack Dmax Anti-Glare Matte Shield ASIN B0812B757J</t>
  </si>
  <si>
    <t>6160-6 2 Pack Celicious matte Anti Glare Screen Surface X ASIN B07ZQV54BL</t>
  </si>
  <si>
    <t>6160-6 2 Pack Celicious matte Anti Glare Screen Surface Pro ASIN B0721NL7F6</t>
  </si>
  <si>
    <t>6160-6 Surface Pro Car charger</t>
  </si>
  <si>
    <t>6160-6 USB-C to USB adapter</t>
  </si>
  <si>
    <t xml:space="preserve">6160-10 Samsung External SSD USB-C 1TB ASIN Samsung T5 Portable SSD			  </t>
  </si>
  <si>
    <t>01336G</t>
  </si>
  <si>
    <t>01331G</t>
  </si>
  <si>
    <t>01496G</t>
  </si>
  <si>
    <t>01822C</t>
  </si>
  <si>
    <t>94Y8G3</t>
  </si>
  <si>
    <t>LPW7VM.ARL</t>
  </si>
  <si>
    <t>LPW7VM.CV</t>
  </si>
  <si>
    <t>170899</t>
  </si>
  <si>
    <t>00462C</t>
  </si>
  <si>
    <t>00446C</t>
  </si>
  <si>
    <t>00468C</t>
  </si>
  <si>
    <t>127-83</t>
  </si>
  <si>
    <t>INV7926038</t>
  </si>
  <si>
    <t>12.2019</t>
  </si>
  <si>
    <t>1711</t>
  </si>
  <si>
    <t>0757</t>
  </si>
  <si>
    <t>172068</t>
  </si>
  <si>
    <t>00694C</t>
  </si>
  <si>
    <t>00658C</t>
  </si>
  <si>
    <t>12042019</t>
  </si>
  <si>
    <t>12082019</t>
  </si>
  <si>
    <t>AUS-0010898</t>
  </si>
  <si>
    <t>300014127</t>
  </si>
  <si>
    <t>12/2019</t>
  </si>
  <si>
    <t>07-11-2019</t>
  </si>
  <si>
    <t>GIS / Valuation Technologies Conference</t>
  </si>
  <si>
    <t>Firehouse Subs</t>
  </si>
  <si>
    <t>Dos Salsas</t>
  </si>
  <si>
    <t>Taxi Cab</t>
  </si>
  <si>
    <t>SanTan Brewing Co</t>
  </si>
  <si>
    <t>Angels Trumpet</t>
  </si>
  <si>
    <t>Uncle Buck's Fishbowl &amp; Grill</t>
  </si>
  <si>
    <t>Johnny Robins</t>
  </si>
  <si>
    <t>Hyatt Hotels</t>
  </si>
  <si>
    <t>Grapevine</t>
  </si>
  <si>
    <t>Public Services Dept</t>
  </si>
  <si>
    <t>New Horizons Computer Learning Center</t>
  </si>
  <si>
    <t>Stephanie Heatley-Dugger - HD</t>
  </si>
  <si>
    <t>6210-2 - GIS Day Luncheon</t>
  </si>
  <si>
    <t>6210-20 - Lunch mtg webinar - ARL, CBC, RQuinlan, SHD</t>
  </si>
  <si>
    <t>6210-20 - dir/mgr meeting luncheon</t>
  </si>
  <si>
    <t>6210-19 - Commissioner Covey/Ashby Meeting Lunch - ARL, AJS</t>
  </si>
  <si>
    <t>6210-13 - IAAO Class - Houston - RQuinlan</t>
  </si>
  <si>
    <t>6210-7 - Airfare to GIS/Val Tech Conf - ARL</t>
  </si>
  <si>
    <t>6210-7 - Airfare to GIS/Val Tech Conf - CV</t>
  </si>
  <si>
    <t>6210-3 - Employee YoS Awards</t>
  </si>
  <si>
    <t>6210-11 - IAAO Legal - Phoenix, AZ - Airport to hotel - ARL, SAM</t>
  </si>
  <si>
    <t>6210-11 - IAAO Legal - Phoenix, AZ - Dinner - ARL, SAM</t>
  </si>
  <si>
    <t>6210-11 - IAAO Legal - Phoenix, AZ - Lunch - ARL, SAM</t>
  </si>
  <si>
    <t>6210-4 - Employee Recognition Event</t>
  </si>
  <si>
    <t>6210-28 - reimbursement - USPAP Update class</t>
  </si>
  <si>
    <t>6210-18 - Reimbursement - Membership renewal TALCB</t>
  </si>
  <si>
    <t>6210-11 - IAAO Legal Seminar - lodging - ARL</t>
  </si>
  <si>
    <t>6210-11 = IAAO Legal seminar - lodging - SAM</t>
  </si>
  <si>
    <t>6210-3 - Employee of the Year Awards</t>
  </si>
  <si>
    <t>6210-11 - IAAO Legal Seminar - taxi ride to airport - ARL, SAM</t>
  </si>
  <si>
    <t>6210-11 - IAAO Legal - Phoenix, AZ - Parking - ARL, SAM</t>
  </si>
  <si>
    <t>6210-20 - Orion User group meeting reimbursement</t>
  </si>
  <si>
    <t>6210-9 - IAAO Legal Seminar - reimbursement - dinner (ARL, SAM)</t>
  </si>
  <si>
    <t>6210-19 - Orion User Group meeting - reimbursement</t>
  </si>
  <si>
    <t>6210-17 - VMWare vSphere course - MPage</t>
  </si>
  <si>
    <t>6210-12 - CAE Candidacy - JGriner</t>
  </si>
  <si>
    <t>6210-11 - Reimbursement - IAAO Class HCAD - lodging, mileage &amp; meals</t>
  </si>
  <si>
    <t>6210-19 - reimburse district personal Uber trip chrgd to district cc</t>
  </si>
  <si>
    <t>6210-4 - Christmas Party gues fees</t>
  </si>
  <si>
    <t>6210-12 - Application Fee - ABayler for RES Candidacy</t>
  </si>
  <si>
    <t>28AR192939</t>
  </si>
  <si>
    <t>N8051347</t>
  </si>
  <si>
    <t>26096054</t>
  </si>
  <si>
    <t>2787230258338x112719</t>
  </si>
  <si>
    <t>112819</t>
  </si>
  <si>
    <t>111919</t>
  </si>
  <si>
    <t>0104757120719</t>
  </si>
  <si>
    <t>7990076691911</t>
  </si>
  <si>
    <t>9841887324</t>
  </si>
  <si>
    <t>0365937121019</t>
  </si>
  <si>
    <t>2787230258338x122719</t>
  </si>
  <si>
    <t>121919</t>
  </si>
  <si>
    <t>12282019</t>
  </si>
  <si>
    <t>7990076691912</t>
  </si>
  <si>
    <t>6220-5 - LDC - November 2019</t>
  </si>
  <si>
    <t>6220-6 - telephone services</t>
  </si>
  <si>
    <t>6220-5 - LDC - December 2019</t>
  </si>
  <si>
    <t>6220-9 - Text blast</t>
  </si>
  <si>
    <t>4021381</t>
  </si>
  <si>
    <t>6869360</t>
  </si>
  <si>
    <t>2369-1</t>
  </si>
  <si>
    <t>815791</t>
  </si>
  <si>
    <t>SRVCE00276343</t>
  </si>
  <si>
    <t>45790</t>
  </si>
  <si>
    <t>31573</t>
  </si>
  <si>
    <t>SCPAY00123258</t>
  </si>
  <si>
    <t>23765</t>
  </si>
  <si>
    <t>12112019</t>
  </si>
  <si>
    <t>28799</t>
  </si>
  <si>
    <t>46128</t>
  </si>
  <si>
    <t>46055</t>
  </si>
  <si>
    <t>Westlake Home &amp; Commercial</t>
  </si>
  <si>
    <t>Meeks Family Chem-Dry LLC</t>
  </si>
  <si>
    <t>6225-17 Great Stuff fireblock</t>
  </si>
  <si>
    <t>6225-17 Fire caulk 3m</t>
  </si>
  <si>
    <t>6225-17 Nashua window/door flashing</t>
  </si>
  <si>
    <t xml:space="preserve">6225-17 3'x50' poly sheeting 			</t>
  </si>
  <si>
    <t xml:space="preserve">6225-17 20ct nitrile gloves		</t>
  </si>
  <si>
    <t>6225-19 - refill 3 rodent bait boxes</t>
  </si>
  <si>
    <t>6225-19 - ants JMiller office</t>
  </si>
  <si>
    <t>6225-19 - ants public srvs area</t>
  </si>
  <si>
    <t>6225-22 - Digital Alarm monitoring 64 zones 12/01/2019-11/30/2020</t>
  </si>
  <si>
    <t>6225-20 - power wash bldg &amp; walkways</t>
  </si>
  <si>
    <t>6225-15 - Building repair &amp; maintenance</t>
  </si>
  <si>
    <t>Assigned Funds - HVAC replacement - fire suppression</t>
  </si>
  <si>
    <t>6225-6 - Janitorial services - December 2019</t>
  </si>
  <si>
    <t>6225-5 - Carpet cleaning - 18,987 sq.ft.</t>
  </si>
  <si>
    <t>6225-24 Masters Decorative Fountain 1/2HP 120V 1PH</t>
  </si>
  <si>
    <t>6225-24 panel, LED Light Ready (Upgraded)</t>
  </si>
  <si>
    <t>6225-24 Diffuser Pattern, 1/2HP Lakewood</t>
  </si>
  <si>
    <t>6225-24 Cable assembly, 14/3 50', 4 pin ALC end</t>
  </si>
  <si>
    <t>6225-24 Set up and installation of fountain/hour</t>
  </si>
  <si>
    <t>6225-24 Shipping</t>
  </si>
  <si>
    <t>171237</t>
  </si>
  <si>
    <t>6236-1 Board member YoS Award</t>
  </si>
  <si>
    <t>INV-Q286328</t>
  </si>
  <si>
    <t>57419</t>
  </si>
  <si>
    <t>110260868-1</t>
  </si>
  <si>
    <t>renewal.2020</t>
  </si>
  <si>
    <t>58486</t>
  </si>
  <si>
    <t>Construction Data</t>
  </si>
  <si>
    <t>6240-19 - publication</t>
  </si>
  <si>
    <t>Publication</t>
  </si>
  <si>
    <t xml:space="preserve">6240-19 2019 Self Storage Expense Guide		</t>
  </si>
  <si>
    <t>6240-19 - subscription renewal - print &amp; digital</t>
  </si>
  <si>
    <t>6240-19 - Course 311 Student reference manual</t>
  </si>
  <si>
    <t>678418943</t>
  </si>
  <si>
    <t>678418937</t>
  </si>
  <si>
    <t>TX02-19-0812-001</t>
  </si>
  <si>
    <t>2132</t>
  </si>
  <si>
    <t>1141</t>
  </si>
  <si>
    <t>R042091.2019</t>
  </si>
  <si>
    <t>6447</t>
  </si>
  <si>
    <t>1006</t>
  </si>
  <si>
    <t>54134121719</t>
  </si>
  <si>
    <t>12172019</t>
  </si>
  <si>
    <t>286683</t>
  </si>
  <si>
    <t>6527</t>
  </si>
  <si>
    <t>25965</t>
  </si>
  <si>
    <t>FoxyAI, Inc</t>
  </si>
  <si>
    <t>6260-9 - Background check - LL</t>
  </si>
  <si>
    <t>6260-9 - Background check - ADG</t>
  </si>
  <si>
    <t>6260-10 - Expert 2017 Mkt Rpt - Kohls - 17-1178-C368 (R466693) - additional work</t>
  </si>
  <si>
    <t>6260-2 - Binding Arbitration - 246-19-A19006 - William A Byars - R042091</t>
  </si>
  <si>
    <t>6260-10 - professional services - October Expenses</t>
  </si>
  <si>
    <t>6260-7 - development software</t>
  </si>
  <si>
    <t>6260-10 - Mediation - CFD Holdings LLC 18-1019-C26</t>
  </si>
  <si>
    <t>6260-9 - Employment screening - LLippe &amp; ADistad</t>
  </si>
  <si>
    <t>6260-10 - professional services - November Expenses</t>
  </si>
  <si>
    <t>6260-10 - professional services - December 2019</t>
  </si>
  <si>
    <t>9576</t>
  </si>
  <si>
    <t>1003124880</t>
  </si>
  <si>
    <t>28AR194368</t>
  </si>
  <si>
    <t>1007058195</t>
  </si>
  <si>
    <t>Nemo-Q, L.P.</t>
  </si>
  <si>
    <t>6280-29 maintenance</t>
  </si>
  <si>
    <t>6280-30 - maintenance</t>
  </si>
  <si>
    <t>86512</t>
  </si>
  <si>
    <t>GL8P7W</t>
  </si>
  <si>
    <t>008-013</t>
  </si>
  <si>
    <t>008-012</t>
  </si>
  <si>
    <t>15810</t>
  </si>
  <si>
    <t>GSPI-72907</t>
  </si>
  <si>
    <t>TechSmith</t>
  </si>
  <si>
    <t>Investintech.com Inc</t>
  </si>
  <si>
    <t>AVTech Software</t>
  </si>
  <si>
    <t>6285-10 - Tax</t>
  </si>
  <si>
    <t>6285-10 Camtasia 2019 Government Upgrade</t>
  </si>
  <si>
    <t>6285-10 Camtasia One Year Maintenance Includes Camtasia 2020</t>
  </si>
  <si>
    <t>6285-10 - refund</t>
  </si>
  <si>
    <t xml:space="preserve">6285-17 Able2Extract PRO 15 renewals w/master key			</t>
  </si>
  <si>
    <t>6285-17 Able2Extract Pro 15 new licenses w/master key</t>
  </si>
  <si>
    <t>6285-13 - room alert renewal</t>
  </si>
  <si>
    <t>6310-3 - ARB Meeting - December 2019</t>
  </si>
  <si>
    <t>6310-4 - ARB Meeting - December 2019</t>
  </si>
  <si>
    <t>6310-2 - ARB Meeting - December 2019</t>
  </si>
  <si>
    <t xml:space="preserve">6285-12 80 E3 Office 365 Licenses, and 25 Hosted Exchange for 1 year. 			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</si>
</sst>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00000"/>
    <numFmt numFmtId="168" formatCode="&quot;$&quot;#,##0"/>
    <numFmt numFmtId="169" formatCode="&quot;$&quot;#,##0.000_);[Red]\(&quot;$&quot;#,##0.000\)"/>
    <numFmt numFmtId="170" formatCode="mm/dd/yyyy"/>
    <numFmt numFmtId="171" formatCode="#,##0.00;\-#,##0.00"/>
  </numFmts>
  <fonts count="95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sz val="10"/>
      <color rgb="FF4472C4"/>
      <name val="Arial"/>
      <family val="2"/>
    </font>
    <font>
      <b/>
      <sz val="15"/>
      <name val="Calibri"/>
      <family val="2"/>
    </font>
    <font>
      <sz val="11"/>
      <color rgb="FF00B050"/>
      <name val="Calibri"/>
      <family val="2"/>
    </font>
    <font>
      <b/>
      <i/>
      <sz val="8"/>
      <color rgb="FF000000"/>
      <name val="Calibri"/>
      <family val="2"/>
    </font>
    <font>
      <sz val="11"/>
      <color rgb="FF009900"/>
      <name val="Calibri"/>
      <family val="2"/>
    </font>
    <font>
      <sz val="10"/>
      <color rgb="FF000000"/>
      <name val="Arial"/>
      <family val="2"/>
    </font>
    <font>
      <b/>
      <i/>
      <sz val="7"/>
      <color rgb="FF00000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000000"/>
      <name val="Calibri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i/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Arial"/>
      <family val="2"/>
    </font>
    <font>
      <b/>
      <u/>
      <sz val="11"/>
      <name val="Calibri"/>
      <family val="2"/>
    </font>
    <font>
      <b/>
      <u/>
      <sz val="11"/>
      <name val="Calibri"/>
      <family val="2"/>
    </font>
    <font>
      <sz val="11"/>
      <name val="Arial"/>
      <family val="2"/>
    </font>
    <font>
      <i/>
      <sz val="8"/>
      <color rgb="FF000000"/>
      <name val="Calibri"/>
      <family val="2"/>
    </font>
    <font>
      <b/>
      <i/>
      <sz val="8"/>
      <name val="Calibri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1"/>
      <color rgb="FF4472C4"/>
      <name val="Calibri"/>
      <family val="2"/>
    </font>
    <font>
      <strike/>
      <sz val="11"/>
      <color rgb="FF000000"/>
      <name val="Calibri"/>
      <family val="2"/>
    </font>
    <font>
      <b/>
      <sz val="15"/>
      <color rgb="FFFFFFFF"/>
      <name val="Calibri"/>
      <family val="2"/>
    </font>
    <font>
      <sz val="8"/>
      <name val="Calibri"/>
      <family val="2"/>
    </font>
    <font>
      <strike/>
      <sz val="11"/>
      <color rgb="FFFF0000"/>
      <name val="Calibri"/>
      <family val="2"/>
    </font>
    <font>
      <strike/>
      <sz val="11"/>
      <name val="Calibri"/>
      <family val="2"/>
    </font>
    <font>
      <b/>
      <sz val="11"/>
      <color rgb="FFFF0000"/>
      <name val="Calibri"/>
      <family val="2"/>
    </font>
    <font>
      <b/>
      <sz val="8"/>
      <name val="Arial"/>
      <family val="2"/>
    </font>
    <font>
      <sz val="10"/>
      <name val="Calibri"/>
      <family val="2"/>
    </font>
    <font>
      <b/>
      <u/>
      <sz val="8"/>
      <name val="Calibri"/>
      <family val="2"/>
    </font>
    <font>
      <b/>
      <sz val="10"/>
      <color rgb="FF000000"/>
      <name val="Arial"/>
      <family val="2"/>
    </font>
    <font>
      <sz val="10"/>
      <color rgb="FF009900"/>
      <name val="Arial"/>
      <family val="2"/>
    </font>
    <font>
      <b/>
      <i/>
      <sz val="8"/>
      <color rgb="FFFF0000"/>
      <name val="Calibri"/>
      <family val="2"/>
    </font>
    <font>
      <b/>
      <u/>
      <sz val="11"/>
      <name val="Calibri"/>
      <family val="2"/>
    </font>
    <font>
      <b/>
      <sz val="8"/>
      <color rgb="FFFF0000"/>
      <name val="Calibri"/>
      <family val="2"/>
    </font>
    <font>
      <i/>
      <sz val="8"/>
      <name val="Calibri"/>
      <family val="2"/>
    </font>
    <font>
      <b/>
      <strike/>
      <sz val="11"/>
      <name val="Calibri"/>
      <family val="2"/>
    </font>
    <font>
      <b/>
      <strike/>
      <sz val="8"/>
      <name val="Calibri"/>
      <family val="2"/>
    </font>
    <font>
      <sz val="15"/>
      <name val="Calibri"/>
      <family val="2"/>
    </font>
    <font>
      <b/>
      <sz val="7"/>
      <name val="Calibri"/>
      <family val="2"/>
    </font>
    <font>
      <b/>
      <i/>
      <sz val="11"/>
      <color rgb="FFFF0000"/>
      <name val="Calibri"/>
      <family val="2"/>
    </font>
    <font>
      <sz val="8"/>
      <color rgb="FF000000"/>
      <name val="Calibri"/>
      <family val="2"/>
    </font>
    <font>
      <sz val="6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0099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trike/>
      <sz val="11"/>
      <name val="Calibri"/>
      <family val="2"/>
    </font>
    <font>
      <sz val="10"/>
      <name val="Arial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8"/>
      <name val="Calibri"/>
      <family val="2"/>
      <scheme val="minor"/>
    </font>
    <font>
      <b/>
      <sz val="15"/>
      <name val="Calibri"/>
      <family val="2"/>
    </font>
    <font>
      <b/>
      <sz val="11"/>
      <color theme="0"/>
      <name val="Arial"/>
      <family val="2"/>
    </font>
    <font>
      <strike/>
      <sz val="11"/>
      <color rgb="FF000000"/>
      <name val="Calibri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B05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11"/>
      <color theme="0" tint="-0.499984740745262"/>
      <name val="Calibri"/>
      <family val="2"/>
    </font>
    <font>
      <sz val="10"/>
      <color rgb="FF4472C4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7"/>
      <color rgb="FF000000"/>
      <name val="Calibri"/>
      <family val="2"/>
    </font>
    <font>
      <sz val="7"/>
      <name val="Calibri"/>
      <family val="2"/>
    </font>
    <font>
      <sz val="11"/>
      <color rgb="FF009900"/>
      <name val="Calibri"/>
      <family val="2"/>
    </font>
    <font>
      <b/>
      <strike/>
      <sz val="8"/>
      <color rgb="FF000000"/>
      <name val="Calibri"/>
      <family val="2"/>
    </font>
    <font>
      <b/>
      <sz val="8"/>
      <color rgb="FFFF0000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741B47"/>
        <bgColor rgb="FF741B4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FFFFFF"/>
      </patternFill>
    </fill>
  </fills>
  <borders count="32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/>
      <bottom/>
      <diagonal/>
    </border>
    <border>
      <left/>
      <right style="thin">
        <color rgb="FFB2A1C7"/>
      </right>
      <top style="thin">
        <color rgb="FFB2A1C7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BE5F1"/>
      </left>
      <right style="thin">
        <color rgb="FFDBE5F1"/>
      </right>
      <top style="thin">
        <color rgb="FFDBE5F1"/>
      </top>
      <bottom style="thin">
        <color rgb="FFDBE5F1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00CC99"/>
      </left>
      <right/>
      <top style="thin">
        <color rgb="FF00CC99"/>
      </top>
      <bottom style="thin">
        <color rgb="FF00CC99"/>
      </bottom>
      <diagonal/>
    </border>
    <border>
      <left/>
      <right/>
      <top style="thin">
        <color rgb="FF00CC99"/>
      </top>
      <bottom style="thin">
        <color rgb="FF00CC99"/>
      </bottom>
      <diagonal/>
    </border>
    <border>
      <left/>
      <right style="thin">
        <color rgb="FF00CC99"/>
      </right>
      <top style="thin">
        <color rgb="FF00CC99"/>
      </top>
      <bottom style="thin">
        <color rgb="FF00CC99"/>
      </bottom>
      <diagonal/>
    </border>
    <border>
      <left style="thin">
        <color rgb="FF00CC99"/>
      </left>
      <right/>
      <top style="thin">
        <color rgb="FF00CC99"/>
      </top>
      <bottom style="thin">
        <color rgb="FF00CC99"/>
      </bottom>
      <diagonal/>
    </border>
    <border>
      <left/>
      <right/>
      <top style="thin">
        <color rgb="FF00CC99"/>
      </top>
      <bottom style="thin">
        <color rgb="FF00CC99"/>
      </bottom>
      <diagonal/>
    </border>
    <border>
      <left/>
      <right style="thin">
        <color rgb="FF00CC99"/>
      </right>
      <top style="thin">
        <color rgb="FF00CC99"/>
      </top>
      <bottom style="thin">
        <color rgb="FF00CC9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9" fontId="91" fillId="0" borderId="0" applyFont="0" applyFill="0" applyBorder="0" applyAlignment="0" applyProtection="0"/>
    <xf numFmtId="0" fontId="93" fillId="0" borderId="12"/>
    <xf numFmtId="0" fontId="94" fillId="0" borderId="12"/>
  </cellStyleXfs>
  <cellXfs count="907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44" fontId="1" fillId="2" borderId="2" xfId="0" applyNumberFormat="1" applyFont="1" applyFill="1" applyBorder="1" applyAlignment="1">
      <alignment horizontal="center" wrapText="1"/>
    </xf>
    <xf numFmtId="0" fontId="0" fillId="0" borderId="0" xfId="0" applyFont="1"/>
    <xf numFmtId="44" fontId="1" fillId="2" borderId="2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3" fillId="3" borderId="3" xfId="0" applyFont="1" applyFill="1" applyBorder="1"/>
    <xf numFmtId="165" fontId="3" fillId="3" borderId="3" xfId="0" applyNumberFormat="1" applyFont="1" applyFill="1" applyBorder="1"/>
    <xf numFmtId="8" fontId="4" fillId="2" borderId="3" xfId="0" applyNumberFormat="1" applyFont="1" applyFill="1" applyBorder="1" applyAlignment="1">
      <alignment horizontal="center"/>
    </xf>
    <xf numFmtId="165" fontId="0" fillId="3" borderId="3" xfId="0" applyNumberFormat="1" applyFont="1" applyFill="1" applyBorder="1"/>
    <xf numFmtId="0" fontId="5" fillId="2" borderId="3" xfId="0" applyFont="1" applyFill="1" applyBorder="1"/>
    <xf numFmtId="165" fontId="0" fillId="3" borderId="3" xfId="0" applyNumberFormat="1" applyFont="1" applyFill="1" applyBorder="1" applyAlignment="1"/>
    <xf numFmtId="8" fontId="4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8" fontId="7" fillId="4" borderId="3" xfId="0" applyNumberFormat="1" applyFont="1" applyFill="1" applyBorder="1" applyAlignment="1">
      <alignment horizontal="left" wrapText="1"/>
    </xf>
    <xf numFmtId="10" fontId="8" fillId="3" borderId="3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165" fontId="0" fillId="0" borderId="0" xfId="0" applyNumberFormat="1" applyFont="1" applyAlignment="1"/>
    <xf numFmtId="165" fontId="0" fillId="0" borderId="0" xfId="0" applyNumberFormat="1" applyFont="1"/>
    <xf numFmtId="0" fontId="0" fillId="0" borderId="0" xfId="0" applyFont="1" applyAlignment="1">
      <alignment horizontal="center"/>
    </xf>
    <xf numFmtId="0" fontId="0" fillId="4" borderId="3" xfId="0" applyFont="1" applyFill="1" applyBorder="1"/>
    <xf numFmtId="165" fontId="2" fillId="0" borderId="0" xfId="0" applyNumberFormat="1" applyFont="1"/>
    <xf numFmtId="0" fontId="0" fillId="4" borderId="3" xfId="0" applyFont="1" applyFill="1" applyBorder="1" applyAlignment="1">
      <alignment horizontal="center"/>
    </xf>
    <xf numFmtId="8" fontId="6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6" fontId="10" fillId="0" borderId="0" xfId="0" applyNumberFormat="1" applyFont="1"/>
    <xf numFmtId="6" fontId="8" fillId="0" borderId="0" xfId="0" applyNumberFormat="1" applyFont="1"/>
    <xf numFmtId="6" fontId="3" fillId="0" borderId="0" xfId="0" applyNumberFormat="1" applyFont="1"/>
    <xf numFmtId="166" fontId="6" fillId="0" borderId="0" xfId="0" applyNumberFormat="1" applyFont="1"/>
    <xf numFmtId="0" fontId="11" fillId="3" borderId="3" xfId="0" applyFont="1" applyFill="1" applyBorder="1"/>
    <xf numFmtId="167" fontId="0" fillId="3" borderId="3" xfId="0" applyNumberFormat="1" applyFont="1" applyFill="1" applyBorder="1" applyAlignment="1">
      <alignment horizontal="left"/>
    </xf>
    <xf numFmtId="167" fontId="0" fillId="3" borderId="3" xfId="0" applyNumberFormat="1" applyFont="1" applyFill="1" applyBorder="1" applyAlignment="1">
      <alignment horizontal="center"/>
    </xf>
    <xf numFmtId="6" fontId="10" fillId="3" borderId="3" xfId="0" applyNumberFormat="1" applyFont="1" applyFill="1" applyBorder="1"/>
    <xf numFmtId="6" fontId="8" fillId="3" borderId="3" xfId="0" applyNumberFormat="1" applyFont="1" applyFill="1" applyBorder="1" applyAlignment="1">
      <alignment horizontal="right"/>
    </xf>
    <xf numFmtId="6" fontId="0" fillId="3" borderId="3" xfId="0" applyNumberFormat="1" applyFont="1" applyFill="1" applyBorder="1" applyAlignment="1">
      <alignment horizontal="right"/>
    </xf>
    <xf numFmtId="0" fontId="11" fillId="0" borderId="0" xfId="0" applyFont="1"/>
    <xf numFmtId="167" fontId="3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right"/>
    </xf>
    <xf numFmtId="6" fontId="0" fillId="0" borderId="0" xfId="0" applyNumberFormat="1" applyFont="1" applyAlignment="1">
      <alignment horizontal="right"/>
    </xf>
    <xf numFmtId="0" fontId="12" fillId="3" borderId="3" xfId="0" applyFont="1" applyFill="1" applyBorder="1"/>
    <xf numFmtId="167" fontId="0" fillId="3" borderId="3" xfId="0" applyNumberFormat="1" applyFont="1" applyFill="1" applyBorder="1"/>
    <xf numFmtId="6" fontId="8" fillId="3" borderId="3" xfId="0" applyNumberFormat="1" applyFont="1" applyFill="1" applyBorder="1"/>
    <xf numFmtId="6" fontId="0" fillId="3" borderId="3" xfId="0" applyNumberFormat="1" applyFont="1" applyFill="1" applyBorder="1"/>
    <xf numFmtId="167" fontId="3" fillId="3" borderId="3" xfId="0" applyNumberFormat="1" applyFont="1" applyFill="1" applyBorder="1"/>
    <xf numFmtId="167" fontId="3" fillId="3" borderId="3" xfId="0" applyNumberFormat="1" applyFont="1" applyFill="1" applyBorder="1" applyAlignment="1">
      <alignment horizontal="center"/>
    </xf>
    <xf numFmtId="167" fontId="13" fillId="0" borderId="0" xfId="0" applyNumberFormat="1" applyFont="1" applyAlignment="1">
      <alignment horizontal="center" vertical="top"/>
    </xf>
    <xf numFmtId="167" fontId="14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center"/>
    </xf>
    <xf numFmtId="10" fontId="10" fillId="0" borderId="0" xfId="0" applyNumberFormat="1" applyFont="1"/>
    <xf numFmtId="6" fontId="16" fillId="0" borderId="6" xfId="0" applyNumberFormat="1" applyFont="1" applyBorder="1"/>
    <xf numFmtId="165" fontId="3" fillId="3" borderId="5" xfId="0" applyNumberFormat="1" applyFont="1" applyFill="1" applyBorder="1"/>
    <xf numFmtId="165" fontId="0" fillId="3" borderId="5" xfId="0" applyNumberFormat="1" applyFont="1" applyFill="1" applyBorder="1"/>
    <xf numFmtId="165" fontId="0" fillId="3" borderId="5" xfId="0" applyNumberFormat="1" applyFont="1" applyFill="1" applyBorder="1" applyAlignment="1"/>
    <xf numFmtId="10" fontId="3" fillId="3" borderId="5" xfId="0" applyNumberFormat="1" applyFont="1" applyFill="1" applyBorder="1"/>
    <xf numFmtId="0" fontId="15" fillId="0" borderId="0" xfId="0" applyFont="1"/>
    <xf numFmtId="165" fontId="15" fillId="0" borderId="0" xfId="0" applyNumberFormat="1" applyFont="1"/>
    <xf numFmtId="165" fontId="17" fillId="0" borderId="0" xfId="0" applyNumberFormat="1" applyFont="1"/>
    <xf numFmtId="44" fontId="3" fillId="3" borderId="3" xfId="0" applyNumberFormat="1" applyFont="1" applyFill="1" applyBorder="1"/>
    <xf numFmtId="6" fontId="15" fillId="0" borderId="6" xfId="0" applyNumberFormat="1" applyFont="1" applyBorder="1"/>
    <xf numFmtId="0" fontId="15" fillId="3" borderId="3" xfId="0" applyFont="1" applyFill="1" applyBorder="1"/>
    <xf numFmtId="165" fontId="15" fillId="3" borderId="5" xfId="0" applyNumberFormat="1" applyFont="1" applyFill="1" applyBorder="1"/>
    <xf numFmtId="167" fontId="13" fillId="0" borderId="0" xfId="0" applyNumberFormat="1" applyFont="1"/>
    <xf numFmtId="167" fontId="13" fillId="0" borderId="0" xfId="0" applyNumberFormat="1" applyFont="1" applyAlignment="1">
      <alignment horizontal="center"/>
    </xf>
    <xf numFmtId="0" fontId="13" fillId="0" borderId="0" xfId="0" applyFont="1"/>
    <xf numFmtId="6" fontId="13" fillId="0" borderId="0" xfId="0" applyNumberFormat="1" applyFont="1"/>
    <xf numFmtId="8" fontId="7" fillId="4" borderId="3" xfId="0" applyNumberFormat="1" applyFont="1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6" fontId="3" fillId="3" borderId="3" xfId="0" applyNumberFormat="1" applyFont="1" applyFill="1" applyBorder="1"/>
    <xf numFmtId="42" fontId="2" fillId="3" borderId="3" xfId="0" applyNumberFormat="1" applyFont="1" applyFill="1" applyBorder="1"/>
    <xf numFmtId="42" fontId="2" fillId="3" borderId="3" xfId="0" applyNumberFormat="1" applyFont="1" applyFill="1" applyBorder="1" applyAlignment="1"/>
    <xf numFmtId="165" fontId="2" fillId="3" borderId="3" xfId="0" applyNumberFormat="1" applyFont="1" applyFill="1" applyBorder="1"/>
    <xf numFmtId="0" fontId="15" fillId="0" borderId="8" xfId="0" applyFont="1" applyBorder="1"/>
    <xf numFmtId="165" fontId="3" fillId="0" borderId="9" xfId="0" applyNumberFormat="1" applyFont="1" applyBorder="1"/>
    <xf numFmtId="165" fontId="15" fillId="0" borderId="9" xfId="0" applyNumberFormat="1" applyFont="1" applyBorder="1"/>
    <xf numFmtId="0" fontId="13" fillId="0" borderId="0" xfId="0" applyFont="1" applyAlignment="1">
      <alignment horizontal="right"/>
    </xf>
    <xf numFmtId="44" fontId="13" fillId="0" borderId="0" xfId="0" applyNumberFormat="1" applyFont="1"/>
    <xf numFmtId="8" fontId="4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 wrapText="1"/>
    </xf>
    <xf numFmtId="168" fontId="0" fillId="0" borderId="0" xfId="0" applyNumberFormat="1" applyFont="1" applyAlignment="1">
      <alignment horizontal="left"/>
    </xf>
    <xf numFmtId="8" fontId="14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166" fontId="0" fillId="0" borderId="0" xfId="0" applyNumberFormat="1" applyFont="1" applyAlignment="1">
      <alignment horizontal="center"/>
    </xf>
    <xf numFmtId="8" fontId="0" fillId="0" borderId="0" xfId="0" applyNumberFormat="1" applyFont="1" applyAlignment="1">
      <alignment horizontal="right"/>
    </xf>
    <xf numFmtId="8" fontId="2" fillId="0" borderId="0" xfId="0" applyNumberFormat="1" applyFont="1"/>
    <xf numFmtId="8" fontId="3" fillId="0" borderId="0" xfId="0" applyNumberFormat="1" applyFont="1"/>
    <xf numFmtId="6" fontId="8" fillId="3" borderId="5" xfId="0" applyNumberFormat="1" applyFont="1" applyFill="1" applyBorder="1"/>
    <xf numFmtId="0" fontId="24" fillId="2" borderId="3" xfId="0" applyFont="1" applyFill="1" applyBorder="1"/>
    <xf numFmtId="6" fontId="0" fillId="3" borderId="5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167" fontId="15" fillId="0" borderId="0" xfId="0" applyNumberFormat="1" applyFont="1" applyAlignment="1">
      <alignment horizontal="right"/>
    </xf>
    <xf numFmtId="8" fontId="13" fillId="0" borderId="0" xfId="0" applyNumberFormat="1" applyFont="1"/>
    <xf numFmtId="167" fontId="15" fillId="0" borderId="0" xfId="0" applyNumberFormat="1" applyFont="1" applyAlignment="1">
      <alignment horizontal="center"/>
    </xf>
    <xf numFmtId="8" fontId="14" fillId="0" borderId="0" xfId="0" applyNumberFormat="1" applyFont="1" applyAlignment="1">
      <alignment horizontal="left" wrapText="1"/>
    </xf>
    <xf numFmtId="8" fontId="3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right"/>
    </xf>
    <xf numFmtId="6" fontId="16" fillId="0" borderId="0" xfId="0" applyNumberFormat="1" applyFont="1"/>
    <xf numFmtId="8" fontId="0" fillId="0" borderId="0" xfId="0" applyNumberFormat="1" applyFont="1" applyAlignment="1">
      <alignment horizontal="right"/>
    </xf>
    <xf numFmtId="6" fontId="15" fillId="0" borderId="0" xfId="0" applyNumberFormat="1" applyFont="1"/>
    <xf numFmtId="8" fontId="8" fillId="0" borderId="0" xfId="0" applyNumberFormat="1" applyFont="1" applyAlignment="1">
      <alignment horizontal="right"/>
    </xf>
    <xf numFmtId="167" fontId="25" fillId="0" borderId="0" xfId="0" applyNumberFormat="1" applyFont="1"/>
    <xf numFmtId="167" fontId="26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0" fontId="0" fillId="3" borderId="3" xfId="0" applyFont="1" applyFill="1" applyBorder="1"/>
    <xf numFmtId="8" fontId="27" fillId="0" borderId="0" xfId="0" applyNumberFormat="1" applyFont="1"/>
    <xf numFmtId="0" fontId="28" fillId="0" borderId="0" xfId="0" applyFont="1"/>
    <xf numFmtId="8" fontId="29" fillId="3" borderId="3" xfId="0" applyNumberFormat="1" applyFont="1" applyFill="1" applyBorder="1"/>
    <xf numFmtId="0" fontId="9" fillId="3" borderId="3" xfId="0" applyFont="1" applyFill="1" applyBorder="1"/>
    <xf numFmtId="8" fontId="3" fillId="3" borderId="3" xfId="0" applyNumberFormat="1" applyFont="1" applyFill="1" applyBorder="1"/>
    <xf numFmtId="6" fontId="3" fillId="3" borderId="5" xfId="0" applyNumberFormat="1" applyFont="1" applyFill="1" applyBorder="1"/>
    <xf numFmtId="1" fontId="3" fillId="3" borderId="3" xfId="0" applyNumberFormat="1" applyFont="1" applyFill="1" applyBorder="1" applyAlignment="1">
      <alignment horizontal="right"/>
    </xf>
    <xf numFmtId="8" fontId="0" fillId="3" borderId="3" xfId="0" applyNumberFormat="1" applyFont="1" applyFill="1" applyBorder="1" applyAlignment="1">
      <alignment horizontal="right"/>
    </xf>
    <xf numFmtId="167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/>
    </xf>
    <xf numFmtId="167" fontId="30" fillId="3" borderId="3" xfId="0" applyNumberFormat="1" applyFont="1" applyFill="1" applyBorder="1"/>
    <xf numFmtId="8" fontId="8" fillId="3" borderId="3" xfId="0" applyNumberFormat="1" applyFont="1" applyFill="1" applyBorder="1" applyAlignment="1">
      <alignment horizontal="right"/>
    </xf>
    <xf numFmtId="167" fontId="3" fillId="3" borderId="3" xfId="0" applyNumberFormat="1" applyFont="1" applyFill="1" applyBorder="1" applyAlignment="1">
      <alignment horizontal="left"/>
    </xf>
    <xf numFmtId="8" fontId="3" fillId="3" borderId="3" xfId="0" applyNumberFormat="1" applyFont="1" applyFill="1" applyBorder="1" applyAlignment="1">
      <alignment horizontal="right"/>
    </xf>
    <xf numFmtId="1" fontId="3" fillId="3" borderId="3" xfId="0" applyNumberFormat="1" applyFont="1" applyFill="1" applyBorder="1" applyAlignment="1">
      <alignment horizontal="center"/>
    </xf>
    <xf numFmtId="8" fontId="29" fillId="0" borderId="0" xfId="0" applyNumberFormat="1" applyFont="1"/>
    <xf numFmtId="6" fontId="15" fillId="3" borderId="3" xfId="0" applyNumberFormat="1" applyFont="1" applyFill="1" applyBorder="1"/>
    <xf numFmtId="1" fontId="3" fillId="0" borderId="0" xfId="0" applyNumberFormat="1" applyFont="1" applyAlignment="1">
      <alignment horizontal="right"/>
    </xf>
    <xf numFmtId="167" fontId="30" fillId="0" borderId="0" xfId="0" applyNumberFormat="1" applyFont="1"/>
    <xf numFmtId="1" fontId="3" fillId="0" borderId="0" xfId="0" applyNumberFormat="1" applyFont="1" applyAlignment="1">
      <alignment horizontal="center"/>
    </xf>
    <xf numFmtId="1" fontId="0" fillId="3" borderId="3" xfId="0" applyNumberFormat="1" applyFont="1" applyFill="1" applyBorder="1" applyAlignment="1">
      <alignment horizontal="right"/>
    </xf>
    <xf numFmtId="6" fontId="15" fillId="3" borderId="5" xfId="0" applyNumberFormat="1" applyFont="1" applyFill="1" applyBorder="1"/>
    <xf numFmtId="8" fontId="13" fillId="0" borderId="0" xfId="0" applyNumberFormat="1" applyFont="1" applyAlignment="1">
      <alignment wrapText="1"/>
    </xf>
    <xf numFmtId="8" fontId="15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3" fillId="4" borderId="3" xfId="0" applyFont="1" applyFill="1" applyBorder="1"/>
    <xf numFmtId="8" fontId="0" fillId="0" borderId="0" xfId="0" applyNumberFormat="1" applyFont="1"/>
    <xf numFmtId="0" fontId="3" fillId="4" borderId="3" xfId="0" applyFont="1" applyFill="1" applyBorder="1" applyAlignment="1">
      <alignment horizontal="center"/>
    </xf>
    <xf numFmtId="8" fontId="14" fillId="3" borderId="3" xfId="0" applyNumberFormat="1" applyFont="1" applyFill="1" applyBorder="1" applyAlignment="1">
      <alignment wrapText="1"/>
    </xf>
    <xf numFmtId="8" fontId="16" fillId="0" borderId="6" xfId="0" applyNumberFormat="1" applyFont="1" applyBorder="1" applyAlignment="1">
      <alignment horizontal="right"/>
    </xf>
    <xf numFmtId="8" fontId="15" fillId="0" borderId="6" xfId="0" applyNumberFormat="1" applyFont="1" applyBorder="1"/>
    <xf numFmtId="0" fontId="3" fillId="3" borderId="3" xfId="0" applyFont="1" applyFill="1" applyBorder="1" applyAlignment="1">
      <alignment horizontal="left" wrapText="1"/>
    </xf>
    <xf numFmtId="8" fontId="31" fillId="0" borderId="0" xfId="0" applyNumberFormat="1" applyFont="1" applyAlignment="1">
      <alignment horizontal="right"/>
    </xf>
    <xf numFmtId="166" fontId="3" fillId="3" borderId="3" xfId="0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right"/>
    </xf>
    <xf numFmtId="166" fontId="3" fillId="3" borderId="3" xfId="0" applyNumberFormat="1" applyFont="1" applyFill="1" applyBorder="1" applyAlignment="1">
      <alignment horizontal="right"/>
    </xf>
    <xf numFmtId="8" fontId="13" fillId="0" borderId="0" xfId="0" applyNumberFormat="1" applyFont="1" applyAlignment="1">
      <alignment horizontal="right"/>
    </xf>
    <xf numFmtId="166" fontId="3" fillId="3" borderId="3" xfId="0" applyNumberFormat="1" applyFont="1" applyFill="1" applyBorder="1" applyAlignment="1">
      <alignment horizontal="center"/>
    </xf>
    <xf numFmtId="8" fontId="31" fillId="0" borderId="0" xfId="0" applyNumberFormat="1" applyFont="1"/>
    <xf numFmtId="8" fontId="2" fillId="3" borderId="3" xfId="0" applyNumberFormat="1" applyFont="1" applyFill="1" applyBorder="1"/>
    <xf numFmtId="0" fontId="3" fillId="0" borderId="0" xfId="0" applyFont="1" applyAlignment="1">
      <alignment horizontal="left" wrapText="1"/>
    </xf>
    <xf numFmtId="166" fontId="3" fillId="0" borderId="0" xfId="0" applyNumberFormat="1" applyFont="1" applyAlignment="1">
      <alignment horizontal="center"/>
    </xf>
    <xf numFmtId="8" fontId="13" fillId="3" borderId="3" xfId="0" applyNumberFormat="1" applyFont="1" applyFill="1" applyBorder="1"/>
    <xf numFmtId="166" fontId="3" fillId="0" borderId="0" xfId="0" applyNumberFormat="1" applyFont="1" applyAlignment="1">
      <alignment horizontal="right"/>
    </xf>
    <xf numFmtId="1" fontId="3" fillId="3" borderId="3" xfId="0" applyNumberFormat="1" applyFont="1" applyFill="1" applyBorder="1" applyAlignment="1">
      <alignment horizontal="right"/>
    </xf>
    <xf numFmtId="167" fontId="3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  <xf numFmtId="167" fontId="3" fillId="3" borderId="3" xfId="0" applyNumberFormat="1" applyFont="1" applyFill="1" applyBorder="1" applyAlignment="1">
      <alignment horizontal="right"/>
    </xf>
    <xf numFmtId="8" fontId="3" fillId="3" borderId="3" xfId="0" applyNumberFormat="1" applyFont="1" applyFill="1" applyBorder="1" applyAlignment="1">
      <alignment horizontal="right"/>
    </xf>
    <xf numFmtId="0" fontId="0" fillId="0" borderId="0" xfId="0" applyFont="1" applyAlignment="1">
      <alignment horizontal="left" wrapText="1"/>
    </xf>
    <xf numFmtId="166" fontId="0" fillId="0" borderId="0" xfId="0" applyNumberFormat="1" applyFont="1" applyAlignment="1">
      <alignment horizontal="left"/>
    </xf>
    <xf numFmtId="8" fontId="0" fillId="3" borderId="3" xfId="0" applyNumberFormat="1" applyFont="1" applyFill="1" applyBorder="1" applyAlignment="1">
      <alignment horizontal="right"/>
    </xf>
    <xf numFmtId="165" fontId="15" fillId="0" borderId="6" xfId="0" applyNumberFormat="1" applyFont="1" applyBorder="1"/>
    <xf numFmtId="0" fontId="3" fillId="3" borderId="3" xfId="0" applyFont="1" applyFill="1" applyBorder="1" applyAlignment="1">
      <alignment horizontal="left" wrapText="1"/>
    </xf>
    <xf numFmtId="0" fontId="32" fillId="0" borderId="0" xfId="0" applyFont="1"/>
    <xf numFmtId="0" fontId="33" fillId="0" borderId="0" xfId="0" applyFont="1" applyAlignment="1">
      <alignment horizontal="left" wrapText="1"/>
    </xf>
    <xf numFmtId="1" fontId="0" fillId="0" borderId="0" xfId="0" applyNumberFormat="1" applyFont="1" applyAlignment="1">
      <alignment horizontal="right"/>
    </xf>
    <xf numFmtId="166" fontId="33" fillId="0" borderId="0" xfId="0" applyNumberFormat="1" applyFont="1" applyAlignment="1">
      <alignment horizontal="center"/>
    </xf>
    <xf numFmtId="166" fontId="33" fillId="0" borderId="0" xfId="0" applyNumberFormat="1" applyFont="1" applyAlignment="1">
      <alignment horizontal="right"/>
    </xf>
    <xf numFmtId="0" fontId="0" fillId="5" borderId="3" xfId="0" applyFont="1" applyFill="1" applyBorder="1"/>
    <xf numFmtId="8" fontId="35" fillId="0" borderId="0" xfId="0" applyNumberFormat="1" applyFont="1"/>
    <xf numFmtId="8" fontId="3" fillId="0" borderId="0" xfId="0" applyNumberFormat="1" applyFont="1" applyAlignment="1">
      <alignment vertical="top"/>
    </xf>
    <xf numFmtId="166" fontId="33" fillId="0" borderId="0" xfId="0" applyNumberFormat="1" applyFont="1" applyAlignment="1">
      <alignment horizontal="center"/>
    </xf>
    <xf numFmtId="8" fontId="33" fillId="0" borderId="0" xfId="0" applyNumberFormat="1" applyFont="1" applyAlignment="1">
      <alignment horizontal="right"/>
    </xf>
    <xf numFmtId="8" fontId="35" fillId="3" borderId="3" xfId="0" applyNumberFormat="1" applyFont="1" applyFill="1" applyBorder="1"/>
    <xf numFmtId="8" fontId="37" fillId="0" borderId="0" xfId="0" applyNumberFormat="1" applyFont="1"/>
    <xf numFmtId="0" fontId="33" fillId="0" borderId="0" xfId="0" applyFont="1"/>
    <xf numFmtId="0" fontId="37" fillId="0" borderId="0" xfId="0" applyFont="1"/>
    <xf numFmtId="8" fontId="33" fillId="0" borderId="0" xfId="0" applyNumberFormat="1" applyFont="1"/>
    <xf numFmtId="0" fontId="37" fillId="3" borderId="3" xfId="0" applyFont="1" applyFill="1" applyBorder="1" applyAlignment="1">
      <alignment horizontal="left" wrapText="1"/>
    </xf>
    <xf numFmtId="6" fontId="0" fillId="0" borderId="0" xfId="0" applyNumberFormat="1" applyFont="1"/>
    <xf numFmtId="166" fontId="37" fillId="3" borderId="3" xfId="0" applyNumberFormat="1" applyFont="1" applyFill="1" applyBorder="1" applyAlignment="1">
      <alignment horizontal="center"/>
    </xf>
    <xf numFmtId="166" fontId="37" fillId="3" borderId="3" xfId="0" applyNumberFormat="1" applyFont="1" applyFill="1" applyBorder="1" applyAlignment="1">
      <alignment horizontal="right"/>
    </xf>
    <xf numFmtId="166" fontId="37" fillId="3" borderId="3" xfId="0" applyNumberFormat="1" applyFont="1" applyFill="1" applyBorder="1" applyAlignment="1">
      <alignment horizontal="center"/>
    </xf>
    <xf numFmtId="8" fontId="0" fillId="3" borderId="3" xfId="0" applyNumberFormat="1" applyFont="1" applyFill="1" applyBorder="1"/>
    <xf numFmtId="8" fontId="37" fillId="3" borderId="3" xfId="0" applyNumberFormat="1" applyFont="1" applyFill="1" applyBorder="1" applyAlignment="1">
      <alignment horizontal="right"/>
    </xf>
    <xf numFmtId="8" fontId="37" fillId="3" borderId="3" xfId="0" applyNumberFormat="1" applyFont="1" applyFill="1" applyBorder="1"/>
    <xf numFmtId="8" fontId="15" fillId="0" borderId="6" xfId="0" applyNumberFormat="1" applyFont="1" applyBorder="1" applyAlignment="1"/>
    <xf numFmtId="167" fontId="27" fillId="3" borderId="3" xfId="0" applyNumberFormat="1" applyFont="1" applyFill="1" applyBorder="1"/>
    <xf numFmtId="166" fontId="0" fillId="0" borderId="0" xfId="0" applyNumberFormat="1" applyFont="1" applyAlignment="1">
      <alignment horizontal="center"/>
    </xf>
    <xf numFmtId="167" fontId="27" fillId="3" borderId="3" xfId="0" applyNumberFormat="1" applyFont="1" applyFill="1" applyBorder="1" applyAlignment="1">
      <alignment horizontal="center"/>
    </xf>
    <xf numFmtId="10" fontId="10" fillId="3" borderId="3" xfId="0" applyNumberFormat="1" applyFont="1" applyFill="1" applyBorder="1"/>
    <xf numFmtId="8" fontId="14" fillId="3" borderId="3" xfId="0" applyNumberFormat="1" applyFont="1" applyFill="1" applyBorder="1" applyAlignment="1">
      <alignment wrapText="1"/>
    </xf>
    <xf numFmtId="168" fontId="16" fillId="3" borderId="3" xfId="0" applyNumberFormat="1" applyFont="1" applyFill="1" applyBorder="1" applyAlignment="1">
      <alignment horizontal="right"/>
    </xf>
    <xf numFmtId="1" fontId="40" fillId="0" borderId="0" xfId="0" applyNumberFormat="1" applyFont="1" applyAlignment="1">
      <alignment horizontal="right"/>
    </xf>
    <xf numFmtId="0" fontId="33" fillId="3" borderId="3" xfId="0" applyFont="1" applyFill="1" applyBorder="1" applyAlignment="1">
      <alignment horizontal="left" wrapText="1"/>
    </xf>
    <xf numFmtId="168" fontId="16" fillId="0" borderId="6" xfId="0" applyNumberFormat="1" applyFont="1" applyBorder="1" applyAlignment="1">
      <alignment horizontal="right"/>
    </xf>
    <xf numFmtId="166" fontId="0" fillId="3" borderId="3" xfId="0" applyNumberFormat="1" applyFont="1" applyFill="1" applyBorder="1" applyAlignment="1">
      <alignment horizontal="left"/>
    </xf>
    <xf numFmtId="166" fontId="0" fillId="3" borderId="3" xfId="0" applyNumberFormat="1" applyFont="1" applyFill="1" applyBorder="1" applyAlignment="1">
      <alignment horizontal="right"/>
    </xf>
    <xf numFmtId="167" fontId="2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166" fontId="15" fillId="0" borderId="0" xfId="0" applyNumberFormat="1" applyFont="1" applyAlignment="1">
      <alignment horizontal="right"/>
    </xf>
    <xf numFmtId="8" fontId="11" fillId="0" borderId="0" xfId="0" applyNumberFormat="1" applyFont="1"/>
    <xf numFmtId="166" fontId="15" fillId="0" borderId="0" xfId="0" applyNumberFormat="1" applyFont="1" applyAlignment="1">
      <alignment horizontal="center"/>
    </xf>
    <xf numFmtId="8" fontId="16" fillId="0" borderId="15" xfId="0" applyNumberFormat="1" applyFont="1" applyBorder="1" applyAlignment="1">
      <alignment horizontal="right"/>
    </xf>
    <xf numFmtId="8" fontId="11" fillId="3" borderId="3" xfId="0" applyNumberFormat="1" applyFont="1" applyFill="1" applyBorder="1"/>
    <xf numFmtId="8" fontId="41" fillId="0" borderId="0" xfId="0" applyNumberFormat="1" applyFont="1" applyAlignment="1">
      <alignment vertical="top"/>
    </xf>
    <xf numFmtId="8" fontId="15" fillId="0" borderId="15" xfId="0" applyNumberFormat="1" applyFont="1" applyBorder="1"/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0" fillId="6" borderId="3" xfId="0" applyFont="1" applyFill="1" applyBorder="1"/>
    <xf numFmtId="0" fontId="0" fillId="3" borderId="3" xfId="0" applyFont="1" applyFill="1" applyBorder="1" applyAlignment="1">
      <alignment horizontal="left" wrapText="1"/>
    </xf>
    <xf numFmtId="166" fontId="0" fillId="3" borderId="3" xfId="0" applyNumberFormat="1" applyFont="1" applyFill="1" applyBorder="1" applyAlignment="1">
      <alignment horizontal="center"/>
    </xf>
    <xf numFmtId="166" fontId="0" fillId="3" borderId="3" xfId="0" applyNumberFormat="1" applyFont="1" applyFill="1" applyBorder="1" applyAlignment="1">
      <alignment horizontal="right"/>
    </xf>
    <xf numFmtId="8" fontId="14" fillId="0" borderId="0" xfId="0" applyNumberFormat="1" applyFont="1" applyAlignment="1">
      <alignment wrapText="1"/>
    </xf>
    <xf numFmtId="8" fontId="31" fillId="0" borderId="0" xfId="0" applyNumberFormat="1" applyFont="1" applyAlignment="1">
      <alignment wrapText="1"/>
    </xf>
    <xf numFmtId="8" fontId="15" fillId="0" borderId="0" xfId="0" applyNumberFormat="1" applyFont="1" applyAlignment="1">
      <alignment horizontal="right" wrapText="1"/>
    </xf>
    <xf numFmtId="1" fontId="15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8" fontId="11" fillId="0" borderId="0" xfId="0" applyNumberFormat="1" applyFont="1" applyAlignment="1">
      <alignment horizontal="center"/>
    </xf>
    <xf numFmtId="8" fontId="31" fillId="0" borderId="0" xfId="0" applyNumberFormat="1" applyFont="1" applyAlignment="1">
      <alignment horizontal="right" wrapText="1"/>
    </xf>
    <xf numFmtId="1" fontId="31" fillId="0" borderId="0" xfId="0" applyNumberFormat="1" applyFont="1" applyAlignment="1">
      <alignment horizontal="right"/>
    </xf>
    <xf numFmtId="8" fontId="31" fillId="0" borderId="0" xfId="0" applyNumberFormat="1" applyFont="1" applyAlignment="1">
      <alignment vertical="top"/>
    </xf>
    <xf numFmtId="6" fontId="43" fillId="0" borderId="0" xfId="0" applyNumberFormat="1" applyFont="1"/>
    <xf numFmtId="0" fontId="44" fillId="0" borderId="0" xfId="0" applyFont="1"/>
    <xf numFmtId="8" fontId="11" fillId="3" borderId="3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166" fontId="3" fillId="0" borderId="0" xfId="0" applyNumberFormat="1" applyFont="1"/>
    <xf numFmtId="8" fontId="3" fillId="0" borderId="0" xfId="0" applyNumberFormat="1" applyFont="1" applyAlignment="1"/>
    <xf numFmtId="8" fontId="30" fillId="0" borderId="0" xfId="0" applyNumberFormat="1" applyFont="1" applyAlignment="1">
      <alignment wrapText="1"/>
    </xf>
    <xf numFmtId="8" fontId="42" fillId="0" borderId="0" xfId="0" applyNumberFormat="1" applyFont="1"/>
    <xf numFmtId="0" fontId="11" fillId="3" borderId="3" xfId="0" applyFont="1" applyFill="1" applyBorder="1" applyAlignment="1">
      <alignment horizontal="right"/>
    </xf>
    <xf numFmtId="167" fontId="14" fillId="3" borderId="3" xfId="0" applyNumberFormat="1" applyFont="1" applyFill="1" applyBorder="1" applyAlignment="1">
      <alignment horizontal="right"/>
    </xf>
    <xf numFmtId="167" fontId="14" fillId="3" borderId="3" xfId="0" applyNumberFormat="1" applyFont="1" applyFill="1" applyBorder="1" applyAlignment="1">
      <alignment horizontal="center"/>
    </xf>
    <xf numFmtId="166" fontId="3" fillId="0" borderId="0" xfId="0" applyNumberFormat="1" applyFont="1" applyAlignment="1"/>
    <xf numFmtId="0" fontId="0" fillId="3" borderId="3" xfId="0" applyFont="1" applyFill="1" applyBorder="1" applyAlignment="1">
      <alignment wrapText="1"/>
    </xf>
    <xf numFmtId="166" fontId="0" fillId="3" borderId="3" xfId="0" applyNumberFormat="1" applyFont="1" applyFill="1" applyBorder="1" applyAlignment="1"/>
    <xf numFmtId="166" fontId="3" fillId="3" borderId="3" xfId="0" applyNumberFormat="1" applyFont="1" applyFill="1" applyBorder="1" applyAlignment="1">
      <alignment horizontal="right"/>
    </xf>
    <xf numFmtId="166" fontId="0" fillId="3" borderId="3" xfId="0" applyNumberFormat="1" applyFont="1" applyFill="1" applyBorder="1"/>
    <xf numFmtId="167" fontId="45" fillId="0" borderId="0" xfId="0" applyNumberFormat="1" applyFont="1" applyAlignment="1">
      <alignment horizontal="left"/>
    </xf>
    <xf numFmtId="166" fontId="3" fillId="0" borderId="17" xfId="0" applyNumberFormat="1" applyFont="1" applyBorder="1" applyAlignment="1">
      <alignment horizontal="right"/>
    </xf>
    <xf numFmtId="166" fontId="8" fillId="0" borderId="0" xfId="0" applyNumberFormat="1" applyFont="1"/>
    <xf numFmtId="166" fontId="3" fillId="3" borderId="3" xfId="0" applyNumberFormat="1" applyFont="1" applyFill="1" applyBorder="1" applyAlignment="1"/>
    <xf numFmtId="10" fontId="0" fillId="3" borderId="5" xfId="0" applyNumberFormat="1" applyFont="1" applyFill="1" applyBorder="1"/>
    <xf numFmtId="166" fontId="0" fillId="3" borderId="18" xfId="0" applyNumberFormat="1" applyFont="1" applyFill="1" applyBorder="1" applyAlignment="1">
      <alignment horizontal="right"/>
    </xf>
    <xf numFmtId="166" fontId="3" fillId="3" borderId="3" xfId="0" applyNumberFormat="1" applyFont="1" applyFill="1" applyBorder="1"/>
    <xf numFmtId="0" fontId="3" fillId="0" borderId="0" xfId="0" applyFont="1" applyAlignment="1"/>
    <xf numFmtId="166" fontId="3" fillId="0" borderId="0" xfId="0" applyNumberFormat="1" applyFont="1" applyAlignment="1">
      <alignment horizontal="left"/>
    </xf>
    <xf numFmtId="166" fontId="0" fillId="0" borderId="17" xfId="0" applyNumberFormat="1" applyFont="1" applyBorder="1" applyAlignment="1">
      <alignment horizontal="right"/>
    </xf>
    <xf numFmtId="166" fontId="16" fillId="0" borderId="6" xfId="0" applyNumberFormat="1" applyFont="1" applyBorder="1"/>
    <xf numFmtId="166" fontId="0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6" fontId="16" fillId="0" borderId="15" xfId="0" applyNumberFormat="1" applyFont="1" applyBorder="1"/>
    <xf numFmtId="6" fontId="15" fillId="0" borderId="15" xfId="0" applyNumberFormat="1" applyFont="1" applyBorder="1"/>
    <xf numFmtId="10" fontId="11" fillId="0" borderId="0" xfId="0" applyNumberFormat="1" applyFont="1"/>
    <xf numFmtId="8" fontId="15" fillId="0" borderId="0" xfId="0" applyNumberFormat="1" applyFont="1"/>
    <xf numFmtId="0" fontId="0" fillId="7" borderId="3" xfId="0" applyFont="1" applyFill="1" applyBorder="1"/>
    <xf numFmtId="0" fontId="33" fillId="3" borderId="3" xfId="0" applyFont="1" applyFill="1" applyBorder="1" applyAlignment="1">
      <alignment wrapText="1"/>
    </xf>
    <xf numFmtId="8" fontId="33" fillId="3" borderId="3" xfId="0" applyNumberFormat="1" applyFont="1" applyFill="1" applyBorder="1" applyAlignment="1">
      <alignment horizontal="right"/>
    </xf>
    <xf numFmtId="0" fontId="1" fillId="8" borderId="19" xfId="0" applyFont="1" applyFill="1" applyBorder="1"/>
    <xf numFmtId="0" fontId="1" fillId="8" borderId="20" xfId="0" applyFont="1" applyFill="1" applyBorder="1"/>
    <xf numFmtId="0" fontId="1" fillId="8" borderId="21" xfId="0" applyFont="1" applyFill="1" applyBorder="1"/>
    <xf numFmtId="0" fontId="37" fillId="0" borderId="0" xfId="0" applyFont="1" applyAlignment="1"/>
    <xf numFmtId="0" fontId="3" fillId="3" borderId="3" xfId="0" applyFont="1" applyFill="1" applyBorder="1" applyAlignment="1">
      <alignment wrapText="1"/>
    </xf>
    <xf numFmtId="8" fontId="2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0" fontId="0" fillId="0" borderId="0" xfId="0" applyFont="1" applyAlignment="1"/>
    <xf numFmtId="8" fontId="31" fillId="0" borderId="6" xfId="0" applyNumberFormat="1" applyFont="1" applyBorder="1"/>
    <xf numFmtId="8" fontId="3" fillId="0" borderId="0" xfId="0" applyNumberFormat="1" applyFont="1" applyAlignment="1">
      <alignment wrapText="1"/>
    </xf>
    <xf numFmtId="1" fontId="48" fillId="0" borderId="0" xfId="0" applyNumberFormat="1" applyFont="1" applyAlignment="1">
      <alignment horizontal="right"/>
    </xf>
    <xf numFmtId="167" fontId="49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left"/>
    </xf>
    <xf numFmtId="8" fontId="14" fillId="3" borderId="3" xfId="0" applyNumberFormat="1" applyFont="1" applyFill="1" applyBorder="1"/>
    <xf numFmtId="8" fontId="33" fillId="0" borderId="0" xfId="0" applyNumberFormat="1" applyFont="1" applyAlignment="1">
      <alignment wrapText="1"/>
    </xf>
    <xf numFmtId="1" fontId="36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0" fontId="0" fillId="0" borderId="22" xfId="0" applyFont="1" applyBorder="1"/>
    <xf numFmtId="8" fontId="14" fillId="0" borderId="0" xfId="0" applyNumberFormat="1" applyFont="1"/>
    <xf numFmtId="168" fontId="0" fillId="0" borderId="23" xfId="0" applyNumberFormat="1" applyFont="1" applyBorder="1"/>
    <xf numFmtId="0" fontId="38" fillId="0" borderId="0" xfId="0" applyFont="1"/>
    <xf numFmtId="10" fontId="0" fillId="0" borderId="24" xfId="0" applyNumberFormat="1" applyFont="1" applyBorder="1"/>
    <xf numFmtId="1" fontId="3" fillId="3" borderId="3" xfId="0" applyNumberFormat="1" applyFont="1" applyFill="1" applyBorder="1" applyAlignment="1">
      <alignment horizontal="left"/>
    </xf>
    <xf numFmtId="1" fontId="0" fillId="3" borderId="3" xfId="0" applyNumberFormat="1" applyFont="1" applyFill="1" applyBorder="1" applyAlignment="1">
      <alignment horizontal="right"/>
    </xf>
    <xf numFmtId="1" fontId="3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3" borderId="3" xfId="0" applyNumberFormat="1" applyFont="1" applyFill="1" applyBorder="1"/>
    <xf numFmtId="1" fontId="3" fillId="0" borderId="0" xfId="0" applyNumberFormat="1" applyFont="1"/>
    <xf numFmtId="8" fontId="17" fillId="0" borderId="6" xfId="0" applyNumberFormat="1" applyFont="1" applyBorder="1"/>
    <xf numFmtId="8" fontId="17" fillId="0" borderId="0" xfId="0" applyNumberFormat="1" applyFont="1"/>
    <xf numFmtId="168" fontId="0" fillId="0" borderId="0" xfId="0" applyNumberFormat="1" applyFont="1" applyAlignment="1">
      <alignment horizontal="left"/>
    </xf>
    <xf numFmtId="1" fontId="0" fillId="0" borderId="0" xfId="0" applyNumberFormat="1" applyFont="1"/>
    <xf numFmtId="1" fontId="0" fillId="3" borderId="3" xfId="0" applyNumberFormat="1" applyFont="1" applyFill="1" applyBorder="1" applyAlignment="1">
      <alignment horizontal="left"/>
    </xf>
    <xf numFmtId="1" fontId="0" fillId="0" borderId="0" xfId="0" applyNumberFormat="1" applyFont="1" applyAlignment="1">
      <alignment horizontal="left"/>
    </xf>
    <xf numFmtId="8" fontId="3" fillId="0" borderId="0" xfId="0" applyNumberFormat="1" applyFont="1" applyAlignment="1">
      <alignment horizontal="left" wrapText="1"/>
    </xf>
    <xf numFmtId="1" fontId="3" fillId="5" borderId="0" xfId="0" applyNumberFormat="1" applyFont="1" applyFill="1" applyAlignment="1">
      <alignment horizontal="right"/>
    </xf>
    <xf numFmtId="1" fontId="3" fillId="5" borderId="3" xfId="0" applyNumberFormat="1" applyFont="1" applyFill="1" applyBorder="1" applyAlignment="1">
      <alignment horizontal="right"/>
    </xf>
    <xf numFmtId="1" fontId="3" fillId="3" borderId="3" xfId="0" applyNumberFormat="1" applyFont="1" applyFill="1" applyBorder="1" applyAlignment="1"/>
    <xf numFmtId="3" fontId="3" fillId="0" borderId="0" xfId="0" applyNumberFormat="1" applyFont="1"/>
    <xf numFmtId="1" fontId="0" fillId="3" borderId="3" xfId="0" applyNumberFormat="1" applyFont="1" applyFill="1" applyBorder="1" applyAlignment="1"/>
    <xf numFmtId="1" fontId="0" fillId="3" borderId="3" xfId="0" applyNumberFormat="1" applyFont="1" applyFill="1" applyBorder="1"/>
    <xf numFmtId="1" fontId="33" fillId="0" borderId="0" xfId="0" applyNumberFormat="1" applyFont="1" applyAlignment="1">
      <alignment horizontal="right"/>
    </xf>
    <xf numFmtId="8" fontId="14" fillId="0" borderId="0" xfId="0" applyNumberFormat="1" applyFont="1" applyAlignment="1"/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/>
    <xf numFmtId="8" fontId="35" fillId="0" borderId="0" xfId="0" applyNumberFormat="1" applyFont="1" applyAlignment="1">
      <alignment wrapText="1"/>
    </xf>
    <xf numFmtId="8" fontId="34" fillId="5" borderId="3" xfId="0" applyNumberFormat="1" applyFont="1" applyFill="1" applyBorder="1" applyAlignment="1">
      <alignment horizontal="left" wrapText="1"/>
    </xf>
    <xf numFmtId="37" fontId="3" fillId="0" borderId="0" xfId="0" applyNumberFormat="1" applyFont="1"/>
    <xf numFmtId="0" fontId="0" fillId="3" borderId="19" xfId="0" applyFont="1" applyFill="1" applyBorder="1"/>
    <xf numFmtId="168" fontId="0" fillId="3" borderId="20" xfId="0" applyNumberFormat="1" applyFont="1" applyFill="1" applyBorder="1"/>
    <xf numFmtId="10" fontId="0" fillId="3" borderId="21" xfId="0" applyNumberFormat="1" applyFont="1" applyFill="1" applyBorder="1"/>
    <xf numFmtId="8" fontId="29" fillId="0" borderId="0" xfId="0" applyNumberFormat="1" applyFont="1" applyAlignment="1">
      <alignment wrapText="1"/>
    </xf>
    <xf numFmtId="8" fontId="49" fillId="3" borderId="3" xfId="0" applyNumberFormat="1" applyFont="1" applyFill="1" applyBorder="1"/>
    <xf numFmtId="1" fontId="33" fillId="3" borderId="3" xfId="0" applyNumberFormat="1" applyFont="1" applyFill="1" applyBorder="1"/>
    <xf numFmtId="1" fontId="33" fillId="3" borderId="3" xfId="0" applyNumberFormat="1" applyFont="1" applyFill="1" applyBorder="1" applyAlignment="1">
      <alignment horizontal="right"/>
    </xf>
    <xf numFmtId="1" fontId="33" fillId="3" borderId="3" xfId="0" applyNumberFormat="1" applyFont="1" applyFill="1" applyBorder="1" applyAlignment="1"/>
    <xf numFmtId="8" fontId="49" fillId="0" borderId="0" xfId="0" applyNumberFormat="1" applyFont="1"/>
    <xf numFmtId="0" fontId="33" fillId="0" borderId="0" xfId="0" applyFont="1" applyAlignment="1">
      <alignment wrapText="1"/>
    </xf>
    <xf numFmtId="1" fontId="33" fillId="0" borderId="0" xfId="0" applyNumberFormat="1" applyFont="1"/>
    <xf numFmtId="8" fontId="34" fillId="0" borderId="0" xfId="0" applyNumberFormat="1" applyFont="1" applyAlignment="1">
      <alignment wrapText="1"/>
    </xf>
    <xf numFmtId="8" fontId="0" fillId="0" borderId="0" xfId="0" applyNumberFormat="1" applyFont="1" applyAlignment="1"/>
    <xf numFmtId="8" fontId="14" fillId="3" borderId="0" xfId="0" applyNumberFormat="1" applyFont="1" applyFill="1"/>
    <xf numFmtId="1" fontId="0" fillId="3" borderId="0" xfId="0" applyNumberFormat="1" applyFont="1" applyFill="1"/>
    <xf numFmtId="1" fontId="0" fillId="3" borderId="0" xfId="0" applyNumberFormat="1" applyFont="1" applyFill="1" applyAlignment="1">
      <alignment horizontal="right"/>
    </xf>
    <xf numFmtId="8" fontId="0" fillId="3" borderId="0" xfId="0" applyNumberFormat="1" applyFont="1" applyFill="1" applyAlignment="1">
      <alignment horizontal="right"/>
    </xf>
    <xf numFmtId="8" fontId="10" fillId="0" borderId="0" xfId="0" applyNumberFormat="1" applyFont="1" applyAlignment="1">
      <alignment horizontal="right"/>
    </xf>
    <xf numFmtId="8" fontId="50" fillId="0" borderId="0" xfId="0" applyNumberFormat="1" applyFont="1" applyAlignment="1">
      <alignment horizontal="left"/>
    </xf>
    <xf numFmtId="8" fontId="50" fillId="0" borderId="0" xfId="0" applyNumberFormat="1" applyFont="1" applyAlignment="1">
      <alignment horizontal="right"/>
    </xf>
    <xf numFmtId="8" fontId="51" fillId="0" borderId="0" xfId="0" applyNumberFormat="1" applyFont="1" applyAlignment="1">
      <alignment horizontal="left" wrapText="1"/>
    </xf>
    <xf numFmtId="38" fontId="3" fillId="0" borderId="0" xfId="0" applyNumberFormat="1" applyFont="1" applyAlignment="1">
      <alignment horizontal="right" wrapText="1"/>
    </xf>
    <xf numFmtId="8" fontId="3" fillId="0" borderId="0" xfId="0" applyNumberFormat="1" applyFont="1" applyAlignment="1">
      <alignment horizontal="right" wrapText="1"/>
    </xf>
    <xf numFmtId="8" fontId="15" fillId="0" borderId="6" xfId="0" applyNumberFormat="1" applyFont="1" applyBorder="1" applyAlignment="1">
      <alignment horizontal="right"/>
    </xf>
    <xf numFmtId="1" fontId="13" fillId="0" borderId="0" xfId="0" applyNumberFormat="1" applyFont="1"/>
    <xf numFmtId="8" fontId="51" fillId="0" borderId="0" xfId="0" applyNumberFormat="1" applyFont="1"/>
    <xf numFmtId="8" fontId="14" fillId="0" borderId="0" xfId="0" applyNumberFormat="1" applyFont="1" applyAlignment="1">
      <alignment vertical="center"/>
    </xf>
    <xf numFmtId="0" fontId="33" fillId="0" borderId="0" xfId="0" applyFont="1"/>
    <xf numFmtId="8" fontId="34" fillId="0" borderId="0" xfId="0" applyNumberFormat="1" applyFont="1" applyAlignment="1">
      <alignment horizontal="left" wrapText="1"/>
    </xf>
    <xf numFmtId="44" fontId="3" fillId="0" borderId="0" xfId="0" applyNumberFormat="1" applyFont="1"/>
    <xf numFmtId="8" fontId="47" fillId="0" borderId="0" xfId="0" applyNumberFormat="1" applyFont="1" applyAlignment="1">
      <alignment wrapText="1"/>
    </xf>
    <xf numFmtId="8" fontId="15" fillId="0" borderId="0" xfId="0" applyNumberFormat="1" applyFont="1" applyAlignment="1">
      <alignment horizontal="center" wrapText="1"/>
    </xf>
    <xf numFmtId="8" fontId="17" fillId="0" borderId="0" xfId="0" applyNumberFormat="1" applyFont="1" applyAlignment="1">
      <alignment horizontal="right" wrapText="1"/>
    </xf>
    <xf numFmtId="8" fontId="17" fillId="0" borderId="0" xfId="0" applyNumberFormat="1" applyFont="1" applyAlignment="1">
      <alignment horizontal="center" wrapText="1"/>
    </xf>
    <xf numFmtId="168" fontId="0" fillId="5" borderId="3" xfId="0" applyNumberFormat="1" applyFont="1" applyFill="1" applyBorder="1" applyAlignment="1">
      <alignment horizontal="left"/>
    </xf>
    <xf numFmtId="0" fontId="37" fillId="3" borderId="3" xfId="0" applyFont="1" applyFill="1" applyBorder="1" applyAlignment="1">
      <alignment wrapText="1"/>
    </xf>
    <xf numFmtId="8" fontId="0" fillId="3" borderId="3" xfId="0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168" fontId="10" fillId="0" borderId="0" xfId="0" applyNumberFormat="1" applyFont="1" applyAlignment="1">
      <alignment horizontal="left" vertical="top"/>
    </xf>
    <xf numFmtId="0" fontId="0" fillId="3" borderId="0" xfId="0" applyFont="1" applyFill="1" applyAlignment="1">
      <alignment wrapText="1"/>
    </xf>
    <xf numFmtId="3" fontId="0" fillId="0" borderId="0" xfId="0" applyNumberFormat="1" applyFont="1" applyAlignment="1">
      <alignment horizontal="right"/>
    </xf>
    <xf numFmtId="3" fontId="0" fillId="0" borderId="0" xfId="0" applyNumberFormat="1" applyFont="1"/>
    <xf numFmtId="8" fontId="0" fillId="3" borderId="0" xfId="0" applyNumberFormat="1" applyFont="1" applyFill="1" applyAlignment="1"/>
    <xf numFmtId="8" fontId="35" fillId="0" borderId="0" xfId="0" applyNumberFormat="1" applyFont="1" applyAlignment="1">
      <alignment horizontal="left" wrapText="1"/>
    </xf>
    <xf numFmtId="8" fontId="27" fillId="0" borderId="0" xfId="0" applyNumberFormat="1" applyFont="1" applyAlignment="1">
      <alignment wrapText="1"/>
    </xf>
    <xf numFmtId="10" fontId="8" fillId="0" borderId="3" xfId="0" applyNumberFormat="1" applyFont="1" applyFill="1" applyBorder="1"/>
    <xf numFmtId="10" fontId="8" fillId="3" borderId="25" xfId="0" applyNumberFormat="1" applyFont="1" applyFill="1" applyBorder="1"/>
    <xf numFmtId="10" fontId="55" fillId="0" borderId="3" xfId="0" applyNumberFormat="1" applyFont="1" applyFill="1" applyBorder="1"/>
    <xf numFmtId="10" fontId="55" fillId="3" borderId="26" xfId="0" applyNumberFormat="1" applyFont="1" applyFill="1" applyBorder="1"/>
    <xf numFmtId="10" fontId="55" fillId="0" borderId="27" xfId="0" applyNumberFormat="1" applyFont="1" applyFill="1" applyBorder="1"/>
    <xf numFmtId="6" fontId="10" fillId="9" borderId="0" xfId="0" applyNumberFormat="1" applyFont="1" applyFill="1"/>
    <xf numFmtId="6" fontId="56" fillId="0" borderId="28" xfId="0" applyNumberFormat="1" applyFont="1" applyBorder="1"/>
    <xf numFmtId="6" fontId="10" fillId="0" borderId="3" xfId="0" applyNumberFormat="1" applyFont="1" applyFill="1" applyBorder="1"/>
    <xf numFmtId="6" fontId="10" fillId="3" borderId="25" xfId="0" applyNumberFormat="1" applyFont="1" applyFill="1" applyBorder="1"/>
    <xf numFmtId="6" fontId="56" fillId="0" borderId="3" xfId="0" applyNumberFormat="1" applyFont="1" applyFill="1" applyBorder="1"/>
    <xf numFmtId="6" fontId="15" fillId="0" borderId="0" xfId="0" applyNumberFormat="1" applyFont="1" applyFill="1"/>
    <xf numFmtId="10" fontId="56" fillId="0" borderId="0" xfId="0" applyNumberFormat="1" applyFont="1"/>
    <xf numFmtId="6" fontId="56" fillId="0" borderId="28" xfId="0" applyNumberFormat="1" applyFont="1" applyFill="1" applyBorder="1"/>
    <xf numFmtId="10" fontId="56" fillId="9" borderId="0" xfId="0" applyNumberFormat="1" applyFont="1" applyFill="1"/>
    <xf numFmtId="10" fontId="3" fillId="3" borderId="25" xfId="0" applyNumberFormat="1" applyFont="1" applyFill="1" applyBorder="1"/>
    <xf numFmtId="6" fontId="56" fillId="0" borderId="15" xfId="0" applyNumberFormat="1" applyFont="1" applyFill="1" applyBorder="1"/>
    <xf numFmtId="6" fontId="56" fillId="3" borderId="28" xfId="0" applyNumberFormat="1" applyFont="1" applyFill="1" applyBorder="1"/>
    <xf numFmtId="6" fontId="15" fillId="3" borderId="3" xfId="0" applyNumberFormat="1" applyFont="1" applyFill="1" applyBorder="1" applyAlignment="1">
      <alignment horizontal="right"/>
    </xf>
    <xf numFmtId="6" fontId="15" fillId="0" borderId="14" xfId="0" applyNumberFormat="1" applyFont="1" applyBorder="1" applyAlignment="1">
      <alignment horizontal="right"/>
    </xf>
    <xf numFmtId="6" fontId="13" fillId="3" borderId="3" xfId="0" applyNumberFormat="1" applyFont="1" applyFill="1" applyBorder="1"/>
    <xf numFmtId="6" fontId="13" fillId="0" borderId="14" xfId="0" applyNumberFormat="1" applyFont="1" applyBorder="1"/>
    <xf numFmtId="6" fontId="31" fillId="0" borderId="6" xfId="0" applyNumberFormat="1" applyFont="1" applyBorder="1"/>
    <xf numFmtId="6" fontId="15" fillId="3" borderId="16" xfId="0" applyNumberFormat="1" applyFont="1" applyFill="1" applyBorder="1"/>
    <xf numFmtId="8" fontId="58" fillId="0" borderId="0" xfId="0" applyNumberFormat="1" applyFont="1"/>
    <xf numFmtId="8" fontId="59" fillId="0" borderId="6" xfId="0" applyNumberFormat="1" applyFont="1" applyBorder="1"/>
    <xf numFmtId="8" fontId="58" fillId="0" borderId="3" xfId="0" applyNumberFormat="1" applyFont="1" applyFill="1" applyBorder="1"/>
    <xf numFmtId="8" fontId="58" fillId="9" borderId="3" xfId="0" applyNumberFormat="1" applyFont="1" applyFill="1" applyBorder="1"/>
    <xf numFmtId="8" fontId="58" fillId="3" borderId="3" xfId="0" applyNumberFormat="1" applyFont="1" applyFill="1" applyBorder="1"/>
    <xf numFmtId="8" fontId="60" fillId="3" borderId="3" xfId="0" applyNumberFormat="1" applyFont="1" applyFill="1" applyBorder="1"/>
    <xf numFmtId="8" fontId="58" fillId="9" borderId="0" xfId="0" applyNumberFormat="1" applyFont="1" applyFill="1"/>
    <xf numFmtId="8" fontId="14" fillId="0" borderId="0" xfId="0" applyNumberFormat="1" applyFont="1" applyFill="1" applyAlignment="1">
      <alignment wrapText="1"/>
    </xf>
    <xf numFmtId="0" fontId="0" fillId="0" borderId="0" xfId="0" applyFont="1" applyFill="1" applyAlignment="1">
      <alignment wrapText="1"/>
    </xf>
    <xf numFmtId="166" fontId="3" fillId="0" borderId="0" xfId="0" applyNumberFormat="1" applyFont="1" applyFill="1"/>
    <xf numFmtId="166" fontId="3" fillId="0" borderId="0" xfId="0" applyNumberFormat="1" applyFont="1" applyFill="1" applyAlignment="1"/>
    <xf numFmtId="166" fontId="0" fillId="0" borderId="0" xfId="0" applyNumberFormat="1" applyFont="1" applyFill="1"/>
    <xf numFmtId="8" fontId="0" fillId="0" borderId="0" xfId="0" applyNumberFormat="1" applyFont="1" applyFill="1" applyAlignment="1">
      <alignment horizontal="right"/>
    </xf>
    <xf numFmtId="8" fontId="58" fillId="0" borderId="0" xfId="0" applyNumberFormat="1" applyFont="1" applyFill="1"/>
    <xf numFmtId="8" fontId="3" fillId="0" borderId="0" xfId="0" applyNumberFormat="1" applyFont="1" applyFill="1"/>
    <xf numFmtId="0" fontId="3" fillId="0" borderId="0" xfId="0" applyFont="1" applyFill="1" applyAlignment="1">
      <alignment horizontal="left" wrapText="1"/>
    </xf>
    <xf numFmtId="8" fontId="14" fillId="0" borderId="3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166" fontId="3" fillId="0" borderId="3" xfId="0" applyNumberFormat="1" applyFont="1" applyFill="1" applyBorder="1" applyAlignment="1">
      <alignment horizontal="left"/>
    </xf>
    <xf numFmtId="166" fontId="0" fillId="0" borderId="3" xfId="0" applyNumberFormat="1" applyFont="1" applyFill="1" applyBorder="1" applyAlignment="1">
      <alignment horizontal="right"/>
    </xf>
    <xf numFmtId="8" fontId="3" fillId="0" borderId="3" xfId="0" applyNumberFormat="1" applyFont="1" applyFill="1" applyBorder="1" applyAlignment="1">
      <alignment horizontal="right"/>
    </xf>
    <xf numFmtId="8" fontId="3" fillId="0" borderId="3" xfId="0" applyNumberFormat="1" applyFont="1" applyFill="1" applyBorder="1"/>
    <xf numFmtId="0" fontId="0" fillId="0" borderId="0" xfId="0" applyFont="1" applyFill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166" fontId="0" fillId="0" borderId="3" xfId="0" applyNumberFormat="1" applyFont="1" applyFill="1" applyBorder="1" applyAlignment="1">
      <alignment horizontal="left"/>
    </xf>
    <xf numFmtId="8" fontId="0" fillId="0" borderId="3" xfId="0" applyNumberFormat="1" applyFont="1" applyFill="1" applyBorder="1" applyAlignment="1">
      <alignment horizontal="right"/>
    </xf>
    <xf numFmtId="0" fontId="33" fillId="0" borderId="3" xfId="0" applyFont="1" applyFill="1" applyBorder="1" applyAlignment="1">
      <alignment wrapText="1"/>
    </xf>
    <xf numFmtId="166" fontId="37" fillId="0" borderId="3" xfId="0" applyNumberFormat="1" applyFont="1" applyFill="1" applyBorder="1"/>
    <xf numFmtId="166" fontId="33" fillId="0" borderId="3" xfId="0" applyNumberFormat="1" applyFont="1" applyFill="1" applyBorder="1"/>
    <xf numFmtId="8" fontId="33" fillId="0" borderId="3" xfId="0" applyNumberFormat="1" applyFont="1" applyFill="1" applyBorder="1" applyAlignment="1">
      <alignment horizontal="right"/>
    </xf>
    <xf numFmtId="8" fontId="37" fillId="0" borderId="3" xfId="0" applyNumberFormat="1" applyFont="1" applyFill="1" applyBorder="1"/>
    <xf numFmtId="8" fontId="46" fillId="0" borderId="3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66" fontId="3" fillId="0" borderId="3" xfId="0" applyNumberFormat="1" applyFont="1" applyFill="1" applyBorder="1" applyAlignment="1"/>
    <xf numFmtId="166" fontId="3" fillId="0" borderId="3" xfId="0" applyNumberFormat="1" applyFont="1" applyFill="1" applyBorder="1" applyAlignment="1">
      <alignment horizontal="right"/>
    </xf>
    <xf numFmtId="8" fontId="3" fillId="0" borderId="3" xfId="0" applyNumberFormat="1" applyFont="1" applyFill="1" applyBorder="1" applyAlignment="1">
      <alignment wrapText="1"/>
    </xf>
    <xf numFmtId="8" fontId="14" fillId="9" borderId="0" xfId="0" applyNumberFormat="1" applyFont="1" applyFill="1" applyAlignment="1">
      <alignment wrapText="1"/>
    </xf>
    <xf numFmtId="0" fontId="3" fillId="9" borderId="0" xfId="0" applyFont="1" applyFill="1" applyAlignment="1">
      <alignment horizontal="left" wrapText="1"/>
    </xf>
    <xf numFmtId="166" fontId="3" fillId="9" borderId="0" xfId="0" applyNumberFormat="1" applyFont="1" applyFill="1" applyAlignment="1">
      <alignment horizontal="left"/>
    </xf>
    <xf numFmtId="166" fontId="0" fillId="9" borderId="0" xfId="0" applyNumberFormat="1" applyFont="1" applyFill="1"/>
    <xf numFmtId="8" fontId="3" fillId="9" borderId="0" xfId="0" applyNumberFormat="1" applyFont="1" applyFill="1" applyAlignment="1">
      <alignment horizontal="right"/>
    </xf>
    <xf numFmtId="8" fontId="3" fillId="9" borderId="0" xfId="0" applyNumberFormat="1" applyFont="1" applyFill="1"/>
    <xf numFmtId="0" fontId="0" fillId="9" borderId="0" xfId="0" applyFont="1" applyFill="1" applyAlignment="1">
      <alignment horizontal="left" wrapText="1"/>
    </xf>
    <xf numFmtId="166" fontId="0" fillId="9" borderId="0" xfId="0" applyNumberFormat="1" applyFont="1" applyFill="1" applyAlignment="1">
      <alignment horizontal="left"/>
    </xf>
    <xf numFmtId="166" fontId="0" fillId="9" borderId="0" xfId="0" applyNumberFormat="1" applyFont="1" applyFill="1" applyAlignment="1">
      <alignment horizontal="right"/>
    </xf>
    <xf numFmtId="8" fontId="0" fillId="9" borderId="0" xfId="0" applyNumberFormat="1" applyFont="1" applyFill="1" applyAlignment="1">
      <alignment horizontal="right"/>
    </xf>
    <xf numFmtId="166" fontId="3" fillId="9" borderId="0" xfId="0" applyNumberFormat="1" applyFont="1" applyFill="1" applyAlignment="1">
      <alignment horizontal="right"/>
    </xf>
    <xf numFmtId="8" fontId="59" fillId="0" borderId="28" xfId="0" applyNumberFormat="1" applyFont="1" applyBorder="1"/>
    <xf numFmtId="10" fontId="59" fillId="0" borderId="0" xfId="0" applyNumberFormat="1" applyFont="1" applyAlignment="1">
      <alignment horizontal="right"/>
    </xf>
    <xf numFmtId="8" fontId="61" fillId="0" borderId="0" xfId="0" applyNumberFormat="1" applyFont="1" applyAlignment="1">
      <alignment horizontal="right"/>
    </xf>
    <xf numFmtId="1" fontId="58" fillId="3" borderId="3" xfId="0" applyNumberFormat="1" applyFont="1" applyFill="1" applyBorder="1" applyAlignment="1">
      <alignment horizontal="right"/>
    </xf>
    <xf numFmtId="8" fontId="58" fillId="0" borderId="0" xfId="0" applyNumberFormat="1" applyFont="1" applyAlignment="1">
      <alignment horizontal="right"/>
    </xf>
    <xf numFmtId="8" fontId="58" fillId="3" borderId="3" xfId="0" applyNumberFormat="1" applyFont="1" applyFill="1" applyBorder="1" applyAlignment="1">
      <alignment horizontal="right"/>
    </xf>
    <xf numFmtId="8" fontId="60" fillId="0" borderId="0" xfId="0" applyNumberFormat="1" applyFont="1"/>
    <xf numFmtId="8" fontId="60" fillId="0" borderId="0" xfId="0" applyNumberFormat="1" applyFont="1" applyAlignment="1">
      <alignment horizontal="right"/>
    </xf>
    <xf numFmtId="8" fontId="60" fillId="3" borderId="3" xfId="0" applyNumberFormat="1" applyFont="1" applyFill="1" applyBorder="1" applyAlignment="1">
      <alignment horizontal="right"/>
    </xf>
    <xf numFmtId="8" fontId="59" fillId="0" borderId="0" xfId="0" applyNumberFormat="1" applyFont="1"/>
    <xf numFmtId="0" fontId="0" fillId="0" borderId="0" xfId="0" applyFont="1" applyFill="1"/>
    <xf numFmtId="8" fontId="14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right"/>
    </xf>
    <xf numFmtId="1" fontId="0" fillId="0" borderId="3" xfId="0" applyNumberFormat="1" applyFont="1" applyFill="1" applyBorder="1" applyAlignment="1">
      <alignment horizontal="left"/>
    </xf>
    <xf numFmtId="8" fontId="0" fillId="0" borderId="3" xfId="0" applyNumberFormat="1" applyFont="1" applyFill="1" applyBorder="1"/>
    <xf numFmtId="8" fontId="14" fillId="0" borderId="0" xfId="0" applyNumberFormat="1" applyFont="1" applyFill="1"/>
    <xf numFmtId="0" fontId="33" fillId="0" borderId="0" xfId="0" applyFont="1" applyFill="1" applyAlignment="1">
      <alignment horizontal="left" wrapText="1"/>
    </xf>
    <xf numFmtId="1" fontId="0" fillId="0" borderId="0" xfId="0" applyNumberFormat="1" applyFont="1" applyFill="1" applyAlignment="1">
      <alignment horizontal="left"/>
    </xf>
    <xf numFmtId="1" fontId="0" fillId="0" borderId="0" xfId="0" applyNumberFormat="1" applyFont="1" applyFill="1" applyAlignment="1">
      <alignment horizontal="right"/>
    </xf>
    <xf numFmtId="8" fontId="0" fillId="0" borderId="0" xfId="0" applyNumberFormat="1" applyFont="1" applyFill="1"/>
    <xf numFmtId="1" fontId="3" fillId="0" borderId="3" xfId="0" applyNumberFormat="1" applyFont="1" applyFill="1" applyBorder="1" applyAlignment="1">
      <alignment horizontal="left"/>
    </xf>
    <xf numFmtId="1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/>
    <xf numFmtId="8" fontId="14" fillId="9" borderId="0" xfId="0" applyNumberFormat="1" applyFont="1" applyFill="1"/>
    <xf numFmtId="1" fontId="0" fillId="9" borderId="0" xfId="0" applyNumberFormat="1" applyFont="1" applyFill="1" applyAlignment="1">
      <alignment horizontal="left"/>
    </xf>
    <xf numFmtId="1" fontId="0" fillId="9" borderId="0" xfId="0" applyNumberFormat="1" applyFont="1" applyFill="1" applyAlignment="1">
      <alignment horizontal="right"/>
    </xf>
    <xf numFmtId="8" fontId="0" fillId="9" borderId="0" xfId="0" applyNumberFormat="1" applyFont="1" applyFill="1"/>
    <xf numFmtId="0" fontId="33" fillId="9" borderId="0" xfId="0" applyFont="1" applyFill="1" applyAlignment="1">
      <alignment horizontal="left" wrapText="1"/>
    </xf>
    <xf numFmtId="8" fontId="14" fillId="9" borderId="3" xfId="0" applyNumberFormat="1" applyFont="1" applyFill="1" applyBorder="1"/>
    <xf numFmtId="1" fontId="3" fillId="9" borderId="3" xfId="0" applyNumberFormat="1" applyFont="1" applyFill="1" applyBorder="1" applyAlignment="1">
      <alignment horizontal="left"/>
    </xf>
    <xf numFmtId="1" fontId="3" fillId="9" borderId="3" xfId="0" applyNumberFormat="1" applyFont="1" applyFill="1" applyBorder="1" applyAlignment="1">
      <alignment horizontal="right"/>
    </xf>
    <xf numFmtId="8" fontId="0" fillId="9" borderId="3" xfId="0" applyNumberFormat="1" applyFont="1" applyFill="1" applyBorder="1" applyAlignment="1">
      <alignment horizontal="right"/>
    </xf>
    <xf numFmtId="8" fontId="0" fillId="9" borderId="3" xfId="0" applyNumberFormat="1" applyFont="1" applyFill="1" applyBorder="1"/>
    <xf numFmtId="1" fontId="0" fillId="9" borderId="3" xfId="0" applyNumberFormat="1" applyFont="1" applyFill="1" applyBorder="1" applyAlignment="1">
      <alignment horizontal="right"/>
    </xf>
    <xf numFmtId="1" fontId="0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wrapText="1"/>
    </xf>
    <xf numFmtId="1" fontId="3" fillId="9" borderId="3" xfId="0" applyNumberFormat="1" applyFont="1" applyFill="1" applyBorder="1"/>
    <xf numFmtId="8" fontId="58" fillId="9" borderId="0" xfId="0" applyNumberFormat="1" applyFont="1" applyFill="1" applyAlignment="1">
      <alignment horizontal="right"/>
    </xf>
    <xf numFmtId="8" fontId="58" fillId="0" borderId="3" xfId="0" applyNumberFormat="1" applyFont="1" applyFill="1" applyBorder="1" applyAlignment="1">
      <alignment horizontal="right"/>
    </xf>
    <xf numFmtId="8" fontId="58" fillId="0" borderId="0" xfId="0" applyNumberFormat="1" applyFont="1" applyFill="1" applyAlignment="1">
      <alignment horizontal="right"/>
    </xf>
    <xf numFmtId="8" fontId="58" fillId="9" borderId="3" xfId="0" applyNumberFormat="1" applyFont="1" applyFill="1" applyBorder="1" applyAlignment="1">
      <alignment horizontal="right"/>
    </xf>
    <xf numFmtId="8" fontId="66" fillId="0" borderId="0" xfId="0" applyNumberFormat="1" applyFont="1" applyAlignment="1">
      <alignment wrapText="1"/>
    </xf>
    <xf numFmtId="8" fontId="60" fillId="9" borderId="0" xfId="0" applyNumberFormat="1" applyFont="1" applyFill="1"/>
    <xf numFmtId="8" fontId="60" fillId="0" borderId="0" xfId="0" applyNumberFormat="1" applyFont="1" applyFill="1" applyAlignment="1">
      <alignment horizontal="right"/>
    </xf>
    <xf numFmtId="8" fontId="60" fillId="9" borderId="0" xfId="0" applyNumberFormat="1" applyFont="1" applyFill="1" applyAlignment="1">
      <alignment horizontal="right"/>
    </xf>
    <xf numFmtId="1" fontId="58" fillId="0" borderId="0" xfId="0" applyNumberFormat="1" applyFont="1" applyAlignment="1">
      <alignment horizontal="right"/>
    </xf>
    <xf numFmtId="1" fontId="3" fillId="10" borderId="3" xfId="0" applyNumberFormat="1" applyFont="1" applyFill="1" applyBorder="1" applyAlignment="1">
      <alignment horizontal="right"/>
    </xf>
    <xf numFmtId="8" fontId="0" fillId="10" borderId="3" xfId="0" applyNumberFormat="1" applyFont="1" applyFill="1" applyBorder="1" applyAlignment="1">
      <alignment horizontal="right"/>
    </xf>
    <xf numFmtId="8" fontId="0" fillId="10" borderId="3" xfId="0" applyNumberFormat="1" applyFont="1" applyFill="1" applyBorder="1"/>
    <xf numFmtId="1" fontId="3" fillId="9" borderId="0" xfId="0" applyNumberFormat="1" applyFont="1" applyFill="1" applyAlignment="1"/>
    <xf numFmtId="1" fontId="3" fillId="9" borderId="0" xfId="0" applyNumberFormat="1" applyFont="1" applyFill="1" applyAlignment="1">
      <alignment horizontal="right"/>
    </xf>
    <xf numFmtId="1" fontId="3" fillId="9" borderId="0" xfId="0" applyNumberFormat="1" applyFont="1" applyFill="1"/>
    <xf numFmtId="8" fontId="65" fillId="0" borderId="0" xfId="0" applyNumberFormat="1" applyFont="1" applyAlignment="1">
      <alignment vertical="top"/>
    </xf>
    <xf numFmtId="8" fontId="61" fillId="0" borderId="0" xfId="0" applyNumberFormat="1" applyFont="1"/>
    <xf numFmtId="8" fontId="67" fillId="5" borderId="3" xfId="0" applyNumberFormat="1" applyFont="1" applyFill="1" applyBorder="1" applyAlignment="1">
      <alignment horizontal="left" wrapText="1"/>
    </xf>
    <xf numFmtId="8" fontId="67" fillId="0" borderId="0" xfId="0" applyNumberFormat="1" applyFont="1" applyAlignment="1">
      <alignment wrapText="1"/>
    </xf>
    <xf numFmtId="8" fontId="59" fillId="0" borderId="0" xfId="0" applyNumberFormat="1" applyFont="1" applyAlignment="1">
      <alignment horizontal="center" wrapText="1"/>
    </xf>
    <xf numFmtId="0" fontId="58" fillId="0" borderId="0" xfId="0" applyFont="1" applyAlignment="1"/>
    <xf numFmtId="8" fontId="58" fillId="3" borderId="0" xfId="0" applyNumberFormat="1" applyFont="1" applyFill="1"/>
    <xf numFmtId="8" fontId="65" fillId="0" borderId="0" xfId="0" applyNumberFormat="1" applyFont="1"/>
    <xf numFmtId="0" fontId="58" fillId="0" borderId="0" xfId="0" applyFont="1"/>
    <xf numFmtId="8" fontId="59" fillId="0" borderId="15" xfId="0" applyNumberFormat="1" applyFont="1" applyBorder="1"/>
    <xf numFmtId="8" fontId="68" fillId="2" borderId="3" xfId="0" applyNumberFormat="1" applyFont="1" applyFill="1" applyBorder="1" applyAlignment="1">
      <alignment horizontal="center" wrapText="1"/>
    </xf>
    <xf numFmtId="8" fontId="60" fillId="0" borderId="0" xfId="0" applyNumberFormat="1" applyFont="1" applyFill="1"/>
    <xf numFmtId="8" fontId="63" fillId="0" borderId="0" xfId="0" applyNumberFormat="1" applyFont="1"/>
    <xf numFmtId="10" fontId="57" fillId="0" borderId="0" xfId="0" applyNumberFormat="1" applyFont="1" applyAlignment="1">
      <alignment horizontal="right"/>
    </xf>
    <xf numFmtId="0" fontId="3" fillId="0" borderId="0" xfId="0" applyFont="1" applyFill="1"/>
    <xf numFmtId="168" fontId="0" fillId="0" borderId="0" xfId="0" applyNumberFormat="1" applyFont="1" applyFill="1" applyAlignment="1">
      <alignment horizontal="left"/>
    </xf>
    <xf numFmtId="0" fontId="0" fillId="0" borderId="0" xfId="0" applyFont="1" applyFill="1" applyAlignment="1"/>
    <xf numFmtId="0" fontId="64" fillId="3" borderId="3" xfId="0" applyFont="1" applyFill="1" applyBorder="1"/>
    <xf numFmtId="8" fontId="63" fillId="0" borderId="0" xfId="0" applyNumberFormat="1" applyFont="1" applyAlignment="1">
      <alignment horizontal="left"/>
    </xf>
    <xf numFmtId="8" fontId="66" fillId="3" borderId="3" xfId="0" applyNumberFormat="1" applyFont="1" applyFill="1" applyBorder="1"/>
    <xf numFmtId="0" fontId="64" fillId="0" borderId="0" xfId="0" applyFont="1" applyAlignment="1">
      <alignment horizontal="left" wrapText="1"/>
    </xf>
    <xf numFmtId="8" fontId="14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wrapText="1"/>
    </xf>
    <xf numFmtId="1" fontId="0" fillId="0" borderId="3" xfId="0" applyNumberFormat="1" applyFont="1" applyFill="1" applyBorder="1" applyAlignment="1"/>
    <xf numFmtId="1" fontId="0" fillId="0" borderId="3" xfId="0" applyNumberFormat="1" applyFont="1" applyFill="1" applyBorder="1"/>
    <xf numFmtId="1" fontId="3" fillId="0" borderId="0" xfId="0" applyNumberFormat="1" applyFont="1" applyFill="1" applyAlignment="1">
      <alignment horizontal="right"/>
    </xf>
    <xf numFmtId="8" fontId="14" fillId="0" borderId="3" xfId="0" applyNumberFormat="1" applyFont="1" applyFill="1" applyBorder="1" applyAlignment="1"/>
    <xf numFmtId="8" fontId="49" fillId="0" borderId="0" xfId="0" applyNumberFormat="1" applyFont="1" applyFill="1"/>
    <xf numFmtId="1" fontId="37" fillId="0" borderId="0" xfId="0" applyNumberFormat="1" applyFont="1" applyFill="1" applyAlignment="1">
      <alignment horizontal="left"/>
    </xf>
    <xf numFmtId="8" fontId="14" fillId="9" borderId="0" xfId="0" applyNumberFormat="1" applyFont="1" applyFill="1" applyAlignment="1">
      <alignment vertical="center"/>
    </xf>
    <xf numFmtId="0" fontId="64" fillId="9" borderId="0" xfId="0" applyFont="1" applyFill="1" applyAlignment="1">
      <alignment wrapText="1"/>
    </xf>
    <xf numFmtId="1" fontId="0" fillId="9" borderId="0" xfId="0" applyNumberFormat="1" applyFont="1" applyFill="1"/>
    <xf numFmtId="3" fontId="3" fillId="9" borderId="0" xfId="0" applyNumberFormat="1" applyFont="1" applyFill="1" applyAlignment="1">
      <alignment horizontal="right"/>
    </xf>
    <xf numFmtId="37" fontId="3" fillId="9" borderId="0" xfId="0" applyNumberFormat="1" applyFont="1" applyFill="1" applyAlignment="1">
      <alignment horizontal="right"/>
    </xf>
    <xf numFmtId="0" fontId="0" fillId="9" borderId="0" xfId="0" applyFont="1" applyFill="1" applyAlignment="1">
      <alignment wrapText="1"/>
    </xf>
    <xf numFmtId="1" fontId="3" fillId="9" borderId="0" xfId="0" applyNumberFormat="1" applyFont="1" applyFill="1" applyAlignment="1">
      <alignment horizontal="left"/>
    </xf>
    <xf numFmtId="8" fontId="63" fillId="9" borderId="0" xfId="0" applyNumberFormat="1" applyFont="1" applyFill="1"/>
    <xf numFmtId="0" fontId="64" fillId="9" borderId="0" xfId="0" applyFont="1" applyFill="1" applyAlignment="1">
      <alignment horizontal="left" wrapText="1"/>
    </xf>
    <xf numFmtId="8" fontId="14" fillId="9" borderId="3" xfId="0" applyNumberFormat="1" applyFont="1" applyFill="1" applyBorder="1" applyAlignment="1">
      <alignment vertical="center"/>
    </xf>
    <xf numFmtId="0" fontId="0" fillId="9" borderId="3" xfId="0" applyFont="1" applyFill="1" applyBorder="1" applyAlignment="1">
      <alignment wrapText="1"/>
    </xf>
    <xf numFmtId="1" fontId="0" fillId="9" borderId="3" xfId="0" applyNumberFormat="1" applyFont="1" applyFill="1" applyBorder="1"/>
    <xf numFmtId="8" fontId="69" fillId="3" borderId="3" xfId="0" applyNumberFormat="1" applyFont="1" applyFill="1" applyBorder="1" applyAlignment="1">
      <alignment horizontal="right"/>
    </xf>
    <xf numFmtId="8" fontId="69" fillId="0" borderId="0" xfId="0" applyNumberFormat="1" applyFont="1" applyAlignment="1">
      <alignment horizontal="right"/>
    </xf>
    <xf numFmtId="0" fontId="0" fillId="0" borderId="3" xfId="0" applyFont="1" applyFill="1" applyBorder="1"/>
    <xf numFmtId="8" fontId="69" fillId="0" borderId="3" xfId="0" applyNumberFormat="1" applyFont="1" applyFill="1" applyBorder="1" applyAlignment="1">
      <alignment horizontal="right"/>
    </xf>
    <xf numFmtId="8" fontId="60" fillId="0" borderId="3" xfId="0" applyNumberFormat="1" applyFont="1" applyFill="1" applyBorder="1"/>
    <xf numFmtId="0" fontId="37" fillId="0" borderId="3" xfId="0" applyFont="1" applyFill="1" applyBorder="1" applyAlignment="1">
      <alignment wrapText="1"/>
    </xf>
    <xf numFmtId="0" fontId="37" fillId="9" borderId="0" xfId="0" applyFont="1" applyFill="1" applyAlignment="1">
      <alignment wrapText="1"/>
    </xf>
    <xf numFmtId="8" fontId="69" fillId="9" borderId="0" xfId="0" applyNumberFormat="1" applyFont="1" applyFill="1" applyAlignment="1">
      <alignment horizontal="right"/>
    </xf>
    <xf numFmtId="0" fontId="33" fillId="9" borderId="3" xfId="0" applyFont="1" applyFill="1" applyBorder="1" applyAlignment="1">
      <alignment wrapText="1"/>
    </xf>
    <xf numFmtId="8" fontId="69" fillId="9" borderId="3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center"/>
    </xf>
    <xf numFmtId="8" fontId="14" fillId="9" borderId="0" xfId="0" applyNumberFormat="1" applyFont="1" applyFill="1" applyAlignment="1"/>
    <xf numFmtId="1" fontId="15" fillId="0" borderId="0" xfId="0" applyNumberFormat="1" applyFont="1" applyFill="1" applyAlignment="1">
      <alignment horizontal="right"/>
    </xf>
    <xf numFmtId="1" fontId="58" fillId="0" borderId="0" xfId="0" applyNumberFormat="1" applyFont="1" applyFill="1" applyAlignment="1">
      <alignment horizontal="right"/>
    </xf>
    <xf numFmtId="167" fontId="14" fillId="0" borderId="0" xfId="0" applyNumberFormat="1" applyFont="1" applyFill="1" applyAlignment="1">
      <alignment horizontal="right"/>
    </xf>
    <xf numFmtId="8" fontId="17" fillId="0" borderId="0" xfId="0" applyNumberFormat="1" applyFont="1" applyFill="1" applyAlignment="1"/>
    <xf numFmtId="0" fontId="22" fillId="0" borderId="0" xfId="0" applyFont="1" applyFill="1"/>
    <xf numFmtId="1" fontId="15" fillId="9" borderId="0" xfId="0" applyNumberFormat="1" applyFont="1" applyFill="1" applyAlignment="1">
      <alignment horizontal="right"/>
    </xf>
    <xf numFmtId="167" fontId="14" fillId="9" borderId="0" xfId="0" applyNumberFormat="1" applyFont="1" applyFill="1" applyAlignment="1">
      <alignment horizontal="right"/>
    </xf>
    <xf numFmtId="8" fontId="0" fillId="0" borderId="3" xfId="0" applyNumberFormat="1" applyFont="1" applyFill="1" applyBorder="1" applyAlignment="1">
      <alignment wrapText="1"/>
    </xf>
    <xf numFmtId="168" fontId="3" fillId="0" borderId="0" xfId="0" applyNumberFormat="1" applyFont="1" applyFill="1" applyAlignment="1">
      <alignment horizontal="left"/>
    </xf>
    <xf numFmtId="1" fontId="37" fillId="9" borderId="0" xfId="0" applyNumberFormat="1" applyFont="1" applyFill="1" applyAlignment="1">
      <alignment horizontal="center"/>
    </xf>
    <xf numFmtId="167" fontId="70" fillId="3" borderId="3" xfId="0" applyNumberFormat="1" applyFont="1" applyFill="1" applyBorder="1"/>
    <xf numFmtId="167" fontId="70" fillId="0" borderId="0" xfId="0" applyNumberFormat="1" applyFont="1"/>
    <xf numFmtId="8" fontId="71" fillId="3" borderId="3" xfId="0" applyNumberFormat="1" applyFont="1" applyFill="1" applyBorder="1"/>
    <xf numFmtId="8" fontId="14" fillId="10" borderId="3" xfId="0" applyNumberFormat="1" applyFont="1" applyFill="1" applyBorder="1"/>
    <xf numFmtId="0" fontId="0" fillId="10" borderId="3" xfId="0" applyFont="1" applyFill="1" applyBorder="1" applyAlignment="1">
      <alignment wrapText="1"/>
    </xf>
    <xf numFmtId="1" fontId="0" fillId="10" borderId="3" xfId="0" applyNumberFormat="1" applyFont="1" applyFill="1" applyBorder="1"/>
    <xf numFmtId="1" fontId="0" fillId="10" borderId="3" xfId="0" applyNumberFormat="1" applyFont="1" applyFill="1" applyBorder="1" applyAlignment="1">
      <alignment horizontal="right"/>
    </xf>
    <xf numFmtId="8" fontId="58" fillId="10" borderId="3" xfId="0" applyNumberFormat="1" applyFont="1" applyFill="1" applyBorder="1"/>
    <xf numFmtId="167" fontId="58" fillId="0" borderId="0" xfId="0" applyNumberFormat="1" applyFont="1" applyAlignment="1">
      <alignment horizontal="left"/>
    </xf>
    <xf numFmtId="167" fontId="64" fillId="3" borderId="3" xfId="0" applyNumberFormat="1" applyFont="1" applyFill="1" applyBorder="1" applyAlignment="1">
      <alignment horizontal="left"/>
    </xf>
    <xf numFmtId="165" fontId="2" fillId="0" borderId="28" xfId="0" applyNumberFormat="1" applyFont="1" applyBorder="1"/>
    <xf numFmtId="165" fontId="0" fillId="0" borderId="28" xfId="0" applyNumberFormat="1" applyFont="1" applyBorder="1"/>
    <xf numFmtId="165" fontId="58" fillId="0" borderId="0" xfId="0" applyNumberFormat="1" applyFont="1"/>
    <xf numFmtId="165" fontId="72" fillId="0" borderId="0" xfId="0" applyNumberFormat="1" applyFont="1"/>
    <xf numFmtId="8" fontId="14" fillId="10" borderId="3" xfId="0" applyNumberFormat="1" applyFont="1" applyFill="1" applyBorder="1" applyAlignment="1">
      <alignment vertical="center"/>
    </xf>
    <xf numFmtId="0" fontId="3" fillId="10" borderId="3" xfId="0" applyFont="1" applyFill="1" applyBorder="1" applyAlignment="1">
      <alignment wrapText="1"/>
    </xf>
    <xf numFmtId="1" fontId="3" fillId="10" borderId="3" xfId="0" applyNumberFormat="1" applyFont="1" applyFill="1" applyBorder="1"/>
    <xf numFmtId="0" fontId="0" fillId="10" borderId="3" xfId="0" applyFont="1" applyFill="1" applyBorder="1" applyAlignment="1">
      <alignment horizontal="left" wrapText="1"/>
    </xf>
    <xf numFmtId="1" fontId="0" fillId="10" borderId="3" xfId="0" applyNumberFormat="1" applyFont="1" applyFill="1" applyBorder="1" applyAlignment="1">
      <alignment horizontal="left"/>
    </xf>
    <xf numFmtId="8" fontId="58" fillId="10" borderId="3" xfId="0" applyNumberFormat="1" applyFont="1" applyFill="1" applyBorder="1" applyAlignment="1">
      <alignment horizontal="right"/>
    </xf>
    <xf numFmtId="165" fontId="0" fillId="0" borderId="0" xfId="2" applyNumberFormat="1" applyFont="1" applyAlignment="1"/>
    <xf numFmtId="43" fontId="0" fillId="0" borderId="0" xfId="1" applyFont="1" applyAlignment="1"/>
    <xf numFmtId="8" fontId="64" fillId="0" borderId="0" xfId="0" applyNumberFormat="1" applyFont="1"/>
    <xf numFmtId="8" fontId="14" fillId="9" borderId="3" xfId="0" applyNumberFormat="1" applyFont="1" applyFill="1" applyBorder="1" applyAlignment="1">
      <alignment wrapText="1"/>
    </xf>
    <xf numFmtId="0" fontId="3" fillId="9" borderId="3" xfId="0" applyFont="1" applyFill="1" applyBorder="1" applyAlignment="1">
      <alignment horizontal="left" wrapText="1"/>
    </xf>
    <xf numFmtId="8" fontId="3" fillId="10" borderId="3" xfId="0" applyNumberFormat="1" applyFont="1" applyFill="1" applyBorder="1"/>
    <xf numFmtId="1" fontId="0" fillId="0" borderId="0" xfId="0" applyNumberFormat="1" applyFont="1" applyFill="1"/>
    <xf numFmtId="0" fontId="58" fillId="0" borderId="0" xfId="0" applyFont="1" applyAlignment="1">
      <alignment wrapText="1"/>
    </xf>
    <xf numFmtId="8" fontId="77" fillId="0" borderId="0" xfId="0" applyNumberFormat="1" applyFont="1"/>
    <xf numFmtId="3" fontId="3" fillId="10" borderId="3" xfId="0" applyNumberFormat="1" applyFont="1" applyFill="1" applyBorder="1"/>
    <xf numFmtId="0" fontId="58" fillId="0" borderId="0" xfId="0" applyFont="1" applyAlignment="1">
      <alignment horizontal="left" wrapText="1"/>
    </xf>
    <xf numFmtId="0" fontId="64" fillId="10" borderId="3" xfId="0" applyFont="1" applyFill="1" applyBorder="1" applyAlignment="1">
      <alignment horizontal="left" wrapText="1"/>
    </xf>
    <xf numFmtId="8" fontId="63" fillId="0" borderId="0" xfId="0" applyNumberFormat="1" applyFont="1" applyFill="1" applyAlignment="1">
      <alignment wrapText="1"/>
    </xf>
    <xf numFmtId="8" fontId="63" fillId="9" borderId="0" xfId="0" applyNumberFormat="1" applyFont="1" applyFill="1" applyAlignment="1"/>
    <xf numFmtId="10" fontId="58" fillId="0" borderId="0" xfId="0" applyNumberFormat="1" applyFont="1" applyAlignment="1">
      <alignment horizontal="right"/>
    </xf>
    <xf numFmtId="8" fontId="79" fillId="0" borderId="0" xfId="0" applyNumberFormat="1" applyFont="1"/>
    <xf numFmtId="8" fontId="78" fillId="10" borderId="3" xfId="0" applyNumberFormat="1" applyFont="1" applyFill="1" applyBorder="1" applyAlignment="1">
      <alignment wrapText="1"/>
    </xf>
    <xf numFmtId="0" fontId="0" fillId="9" borderId="3" xfId="0" applyFont="1" applyFill="1" applyBorder="1" applyAlignment="1">
      <alignment horizontal="left" wrapText="1"/>
    </xf>
    <xf numFmtId="166" fontId="0" fillId="9" borderId="3" xfId="0" applyNumberFormat="1" applyFont="1" applyFill="1" applyBorder="1" applyAlignment="1">
      <alignment horizontal="right"/>
    </xf>
    <xf numFmtId="166" fontId="0" fillId="9" borderId="3" xfId="0" applyNumberFormat="1" applyFont="1" applyFill="1" applyBorder="1" applyAlignment="1">
      <alignment horizontal="left"/>
    </xf>
    <xf numFmtId="8" fontId="3" fillId="9" borderId="3" xfId="0" applyNumberFormat="1" applyFont="1" applyFill="1" applyBorder="1"/>
    <xf numFmtId="0" fontId="0" fillId="0" borderId="0" xfId="0" applyFont="1" applyAlignment="1"/>
    <xf numFmtId="168" fontId="0" fillId="0" borderId="0" xfId="0" applyNumberFormat="1" applyFont="1" applyAlignment="1">
      <alignment horizontal="left"/>
    </xf>
    <xf numFmtId="0" fontId="80" fillId="0" borderId="0" xfId="0" applyFont="1"/>
    <xf numFmtId="0" fontId="62" fillId="3" borderId="3" xfId="0" applyFont="1" applyFill="1" applyBorder="1"/>
    <xf numFmtId="0" fontId="62" fillId="0" borderId="0" xfId="0" applyFont="1"/>
    <xf numFmtId="167" fontId="81" fillId="0" borderId="0" xfId="0" applyNumberFormat="1" applyFont="1"/>
    <xf numFmtId="0" fontId="82" fillId="0" borderId="0" xfId="0" applyFont="1"/>
    <xf numFmtId="0" fontId="83" fillId="3" borderId="3" xfId="0" applyFont="1" applyFill="1" applyBorder="1"/>
    <xf numFmtId="0" fontId="84" fillId="0" borderId="0" xfId="0" applyFont="1"/>
    <xf numFmtId="0" fontId="84" fillId="3" borderId="3" xfId="0" applyFont="1" applyFill="1" applyBorder="1"/>
    <xf numFmtId="0" fontId="85" fillId="0" borderId="0" xfId="0" applyFont="1"/>
    <xf numFmtId="8" fontId="76" fillId="3" borderId="3" xfId="0" applyNumberFormat="1" applyFont="1" applyFill="1" applyBorder="1"/>
    <xf numFmtId="1" fontId="3" fillId="0" borderId="3" xfId="0" applyNumberFormat="1" applyFont="1" applyFill="1" applyBorder="1" applyAlignment="1"/>
    <xf numFmtId="3" fontId="3" fillId="0" borderId="0" xfId="0" applyNumberFormat="1" applyFont="1" applyFill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8" fontId="3" fillId="0" borderId="3" xfId="0" applyNumberFormat="1" applyFont="1" applyFill="1" applyBorder="1" applyAlignment="1">
      <alignment horizontal="left" wrapText="1"/>
    </xf>
    <xf numFmtId="167" fontId="14" fillId="0" borderId="3" xfId="0" applyNumberFormat="1" applyFont="1" applyFill="1" applyBorder="1" applyAlignment="1">
      <alignment horizontal="right"/>
    </xf>
    <xf numFmtId="1" fontId="0" fillId="9" borderId="3" xfId="0" applyNumberFormat="1" applyFont="1" applyFill="1" applyBorder="1" applyAlignment="1"/>
    <xf numFmtId="0" fontId="14" fillId="9" borderId="0" xfId="0" applyFont="1" applyFill="1" applyAlignment="1">
      <alignment wrapText="1"/>
    </xf>
    <xf numFmtId="0" fontId="58" fillId="9" borderId="0" xfId="0" applyFont="1" applyFill="1" applyAlignment="1">
      <alignment horizontal="left" wrapText="1"/>
    </xf>
    <xf numFmtId="8" fontId="63" fillId="0" borderId="3" xfId="0" applyNumberFormat="1" applyFont="1" applyFill="1" applyBorder="1"/>
    <xf numFmtId="8" fontId="35" fillId="0" borderId="0" xfId="0" applyNumberFormat="1" applyFont="1" applyFill="1"/>
    <xf numFmtId="8" fontId="35" fillId="0" borderId="3" xfId="0" applyNumberFormat="1" applyFont="1" applyFill="1" applyBorder="1"/>
    <xf numFmtId="1" fontId="3" fillId="0" borderId="0" xfId="0" applyNumberFormat="1" applyFont="1" applyFill="1" applyAlignment="1">
      <alignment horizontal="left"/>
    </xf>
    <xf numFmtId="0" fontId="64" fillId="0" borderId="3" xfId="0" applyFont="1" applyFill="1" applyBorder="1" applyAlignment="1">
      <alignment wrapText="1"/>
    </xf>
    <xf numFmtId="8" fontId="13" fillId="0" borderId="0" xfId="0" applyNumberFormat="1" applyFont="1" applyFill="1" applyAlignment="1">
      <alignment wrapText="1"/>
    </xf>
    <xf numFmtId="8" fontId="15" fillId="0" borderId="0" xfId="0" applyNumberFormat="1" applyFont="1" applyFill="1" applyAlignment="1">
      <alignment horizontal="right" wrapText="1"/>
    </xf>
    <xf numFmtId="1" fontId="3" fillId="0" borderId="0" xfId="0" applyNumberFormat="1" applyFont="1" applyFill="1"/>
    <xf numFmtId="10" fontId="59" fillId="0" borderId="0" xfId="0" applyNumberFormat="1" applyFont="1" applyFill="1" applyAlignment="1">
      <alignment horizontal="right"/>
    </xf>
    <xf numFmtId="8" fontId="59" fillId="0" borderId="6" xfId="0" applyNumberFormat="1" applyFont="1" applyFill="1" applyBorder="1"/>
    <xf numFmtId="8" fontId="15" fillId="0" borderId="6" xfId="0" applyNumberFormat="1" applyFont="1" applyFill="1" applyBorder="1"/>
    <xf numFmtId="0" fontId="3" fillId="9" borderId="0" xfId="0" applyFont="1" applyFill="1" applyAlignment="1">
      <alignment wrapText="1"/>
    </xf>
    <xf numFmtId="8" fontId="64" fillId="0" borderId="3" xfId="0" applyNumberFormat="1" applyFont="1" applyFill="1" applyBorder="1" applyAlignment="1">
      <alignment horizontal="right"/>
    </xf>
    <xf numFmtId="1" fontId="15" fillId="0" borderId="3" xfId="0" applyNumberFormat="1" applyFont="1" applyFill="1" applyBorder="1" applyAlignment="1">
      <alignment horizontal="left"/>
    </xf>
    <xf numFmtId="0" fontId="3" fillId="0" borderId="0" xfId="0" applyFont="1" applyFill="1" applyAlignment="1"/>
    <xf numFmtId="168" fontId="3" fillId="0" borderId="0" xfId="0" applyNumberFormat="1" applyFont="1" applyFill="1" applyAlignment="1">
      <alignment horizontal="left" vertical="top"/>
    </xf>
    <xf numFmtId="8" fontId="0" fillId="9" borderId="0" xfId="0" applyNumberFormat="1" applyFont="1" applyFill="1" applyAlignment="1"/>
    <xf numFmtId="8" fontId="63" fillId="9" borderId="0" xfId="0" applyNumberFormat="1" applyFont="1" applyFill="1" applyAlignment="1">
      <alignment wrapText="1"/>
    </xf>
    <xf numFmtId="8" fontId="76" fillId="0" borderId="3" xfId="0" applyNumberFormat="1" applyFont="1" applyFill="1" applyBorder="1"/>
    <xf numFmtId="8" fontId="76" fillId="9" borderId="0" xfId="0" applyNumberFormat="1" applyFont="1" applyFill="1" applyAlignment="1">
      <alignment horizontal="left" wrapText="1"/>
    </xf>
    <xf numFmtId="0" fontId="58" fillId="9" borderId="0" xfId="0" applyFont="1" applyFill="1" applyAlignment="1">
      <alignment wrapText="1"/>
    </xf>
    <xf numFmtId="8" fontId="63" fillId="9" borderId="3" xfId="0" applyNumberFormat="1" applyFont="1" applyFill="1" applyBorder="1"/>
    <xf numFmtId="8" fontId="35" fillId="9" borderId="3" xfId="0" applyNumberFormat="1" applyFont="1" applyFill="1" applyBorder="1"/>
    <xf numFmtId="0" fontId="0" fillId="9" borderId="3" xfId="0" applyFont="1" applyFill="1" applyBorder="1" applyAlignment="1"/>
    <xf numFmtId="8" fontId="44" fillId="9" borderId="0" xfId="0" applyNumberFormat="1" applyFont="1" applyFill="1"/>
    <xf numFmtId="0" fontId="37" fillId="0" borderId="3" xfId="0" applyFont="1" applyFill="1" applyBorder="1" applyAlignment="1">
      <alignment horizontal="left" wrapText="1"/>
    </xf>
    <xf numFmtId="8" fontId="60" fillId="0" borderId="3" xfId="0" applyNumberFormat="1" applyFont="1" applyFill="1" applyBorder="1" applyAlignment="1">
      <alignment horizontal="right"/>
    </xf>
    <xf numFmtId="0" fontId="3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right"/>
    </xf>
    <xf numFmtId="0" fontId="44" fillId="0" borderId="0" xfId="0" applyFont="1" applyFill="1"/>
    <xf numFmtId="0" fontId="58" fillId="0" borderId="0" xfId="0" applyFont="1" applyFill="1" applyAlignment="1">
      <alignment horizontal="left" wrapText="1"/>
    </xf>
    <xf numFmtId="1" fontId="15" fillId="0" borderId="3" xfId="0" applyNumberFormat="1" applyFont="1" applyFill="1" applyBorder="1" applyAlignment="1">
      <alignment horizontal="right"/>
    </xf>
    <xf numFmtId="0" fontId="64" fillId="0" borderId="0" xfId="0" applyFont="1" applyFill="1" applyAlignment="1">
      <alignment wrapText="1"/>
    </xf>
    <xf numFmtId="1" fontId="13" fillId="0" borderId="3" xfId="0" applyNumberFormat="1" applyFont="1" applyFill="1" applyBorder="1"/>
    <xf numFmtId="8" fontId="13" fillId="0" borderId="3" xfId="0" applyNumberFormat="1" applyFont="1" applyFill="1" applyBorder="1" applyAlignment="1">
      <alignment horizontal="right"/>
    </xf>
    <xf numFmtId="8" fontId="13" fillId="0" borderId="3" xfId="0" applyNumberFormat="1" applyFont="1" applyFill="1" applyBorder="1"/>
    <xf numFmtId="8" fontId="3" fillId="9" borderId="3" xfId="0" applyNumberFormat="1" applyFont="1" applyFill="1" applyBorder="1" applyAlignment="1">
      <alignment wrapText="1"/>
    </xf>
    <xf numFmtId="3" fontId="3" fillId="9" borderId="3" xfId="0" applyNumberFormat="1" applyFont="1" applyFill="1" applyBorder="1" applyAlignment="1">
      <alignment horizontal="right"/>
    </xf>
    <xf numFmtId="1" fontId="3" fillId="9" borderId="3" xfId="0" applyNumberFormat="1" applyFont="1" applyFill="1" applyBorder="1" applyAlignment="1"/>
    <xf numFmtId="8" fontId="3" fillId="9" borderId="3" xfId="0" applyNumberFormat="1" applyFont="1" applyFill="1" applyBorder="1" applyAlignment="1">
      <alignment horizontal="right"/>
    </xf>
    <xf numFmtId="8" fontId="3" fillId="9" borderId="3" xfId="0" applyNumberFormat="1" applyFont="1" applyFill="1" applyBorder="1" applyAlignment="1">
      <alignment horizontal="right" vertical="top"/>
    </xf>
    <xf numFmtId="8" fontId="63" fillId="9" borderId="3" xfId="0" applyNumberFormat="1" applyFont="1" applyFill="1" applyBorder="1" applyAlignment="1">
      <alignment wrapText="1"/>
    </xf>
    <xf numFmtId="0" fontId="3" fillId="9" borderId="3" xfId="0" applyFont="1" applyFill="1" applyBorder="1" applyAlignment="1">
      <alignment horizontal="right" wrapText="1"/>
    </xf>
    <xf numFmtId="8" fontId="58" fillId="9" borderId="0" xfId="0" applyNumberFormat="1" applyFont="1" applyFill="1" applyAlignment="1">
      <alignment horizontal="left" wrapText="1"/>
    </xf>
    <xf numFmtId="1" fontId="0" fillId="9" borderId="0" xfId="0" applyNumberFormat="1" applyFont="1" applyFill="1" applyAlignment="1"/>
    <xf numFmtId="8" fontId="0" fillId="9" borderId="0" xfId="0" applyNumberFormat="1" applyFont="1" applyFill="1" applyAlignment="1">
      <alignment wrapText="1"/>
    </xf>
    <xf numFmtId="168" fontId="38" fillId="0" borderId="0" xfId="0" applyNumberFormat="1" applyFont="1" applyFill="1" applyAlignment="1">
      <alignment horizontal="left"/>
    </xf>
    <xf numFmtId="0" fontId="52" fillId="0" borderId="0" xfId="0" applyFont="1" applyFill="1"/>
    <xf numFmtId="0" fontId="64" fillId="3" borderId="3" xfId="0" applyFont="1" applyFill="1" applyBorder="1" applyAlignment="1">
      <alignment horizontal="left" wrapText="1"/>
    </xf>
    <xf numFmtId="168" fontId="10" fillId="0" borderId="0" xfId="0" applyNumberFormat="1" applyFont="1" applyFill="1" applyAlignment="1">
      <alignment horizontal="left" vertical="top"/>
    </xf>
    <xf numFmtId="168" fontId="10" fillId="0" borderId="0" xfId="0" applyNumberFormat="1" applyFont="1" applyFill="1" applyAlignment="1">
      <alignment horizontal="left"/>
    </xf>
    <xf numFmtId="8" fontId="3" fillId="9" borderId="0" xfId="0" applyNumberFormat="1" applyFont="1" applyFill="1" applyAlignment="1">
      <alignment wrapText="1"/>
    </xf>
    <xf numFmtId="168" fontId="0" fillId="0" borderId="0" xfId="0" applyNumberFormat="1" applyFont="1" applyFill="1" applyAlignment="1"/>
    <xf numFmtId="0" fontId="3" fillId="0" borderId="3" xfId="0" applyFont="1" applyFill="1" applyBorder="1"/>
    <xf numFmtId="1" fontId="33" fillId="0" borderId="3" xfId="0" applyNumberFormat="1" applyFont="1" applyFill="1" applyBorder="1"/>
    <xf numFmtId="168" fontId="3" fillId="0" borderId="0" xfId="0" applyNumberFormat="1" applyFont="1" applyFill="1"/>
    <xf numFmtId="0" fontId="33" fillId="9" borderId="0" xfId="0" applyFont="1" applyFill="1" applyAlignment="1">
      <alignment wrapText="1"/>
    </xf>
    <xf numFmtId="8" fontId="63" fillId="0" borderId="0" xfId="0" applyNumberFormat="1" applyFont="1" applyFill="1" applyAlignment="1"/>
    <xf numFmtId="168" fontId="62" fillId="9" borderId="0" xfId="0" applyNumberFormat="1" applyFont="1" applyFill="1" applyAlignment="1">
      <alignment horizontal="left"/>
    </xf>
    <xf numFmtId="1" fontId="3" fillId="9" borderId="0" xfId="0" applyNumberFormat="1" applyFont="1" applyFill="1" applyAlignment="1">
      <alignment horizontal="center"/>
    </xf>
    <xf numFmtId="0" fontId="64" fillId="0" borderId="0" xfId="0" applyFont="1"/>
    <xf numFmtId="1" fontId="15" fillId="9" borderId="3" xfId="0" applyNumberFormat="1" applyFont="1" applyFill="1" applyBorder="1" applyAlignment="1">
      <alignment horizontal="left"/>
    </xf>
    <xf numFmtId="8" fontId="8" fillId="9" borderId="0" xfId="0" applyNumberFormat="1" applyFont="1" applyFill="1" applyAlignment="1">
      <alignment horizontal="right"/>
    </xf>
    <xf numFmtId="0" fontId="0" fillId="0" borderId="0" xfId="0" applyFont="1" applyAlignment="1"/>
    <xf numFmtId="168" fontId="0" fillId="0" borderId="0" xfId="0" applyNumberFormat="1" applyFont="1" applyAlignment="1">
      <alignment horizontal="left"/>
    </xf>
    <xf numFmtId="8" fontId="61" fillId="0" borderId="0" xfId="0" applyNumberFormat="1" applyFont="1" applyAlignment="1">
      <alignment wrapText="1"/>
    </xf>
    <xf numFmtId="166" fontId="0" fillId="0" borderId="18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left"/>
    </xf>
    <xf numFmtId="166" fontId="0" fillId="0" borderId="0" xfId="0" applyNumberFormat="1" applyFont="1" applyFill="1" applyAlignment="1">
      <alignment horizontal="right"/>
    </xf>
    <xf numFmtId="166" fontId="0" fillId="0" borderId="3" xfId="0" applyNumberFormat="1" applyFont="1" applyFill="1" applyBorder="1" applyAlignment="1"/>
    <xf numFmtId="166" fontId="0" fillId="0" borderId="3" xfId="0" applyNumberFormat="1" applyFont="1" applyFill="1" applyBorder="1"/>
    <xf numFmtId="0" fontId="3" fillId="0" borderId="0" xfId="0" applyFont="1" applyFill="1" applyAlignment="1">
      <alignment wrapText="1"/>
    </xf>
    <xf numFmtId="8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left"/>
    </xf>
    <xf numFmtId="166" fontId="3" fillId="0" borderId="0" xfId="0" applyNumberFormat="1" applyFont="1" applyFill="1" applyAlignment="1">
      <alignment horizontal="right"/>
    </xf>
    <xf numFmtId="166" fontId="0" fillId="9" borderId="18" xfId="0" applyNumberFormat="1" applyFont="1" applyFill="1" applyBorder="1" applyAlignment="1">
      <alignment horizontal="right"/>
    </xf>
    <xf numFmtId="166" fontId="0" fillId="9" borderId="17" xfId="0" applyNumberFormat="1" applyFont="1" applyFill="1" applyBorder="1" applyAlignment="1">
      <alignment horizontal="right"/>
    </xf>
    <xf numFmtId="166" fontId="0" fillId="9" borderId="0" xfId="0" applyNumberFormat="1" applyFont="1" applyFill="1" applyAlignment="1"/>
    <xf numFmtId="166" fontId="3" fillId="9" borderId="0" xfId="0" applyNumberFormat="1" applyFont="1" applyFill="1" applyAlignment="1"/>
    <xf numFmtId="166" fontId="3" fillId="9" borderId="0" xfId="0" applyNumberFormat="1" applyFont="1" applyFill="1"/>
    <xf numFmtId="8" fontId="14" fillId="9" borderId="12" xfId="0" applyNumberFormat="1" applyFont="1" applyFill="1" applyBorder="1" applyAlignment="1">
      <alignment wrapText="1"/>
    </xf>
    <xf numFmtId="0" fontId="3" fillId="9" borderId="12" xfId="0" applyFont="1" applyFill="1" applyBorder="1" applyAlignment="1">
      <alignment horizontal="left" wrapText="1"/>
    </xf>
    <xf numFmtId="166" fontId="3" fillId="9" borderId="12" xfId="0" applyNumberFormat="1" applyFont="1" applyFill="1" applyBorder="1" applyAlignment="1">
      <alignment horizontal="left"/>
    </xf>
    <xf numFmtId="166" fontId="3" fillId="9" borderId="12" xfId="0" applyNumberFormat="1" applyFont="1" applyFill="1" applyBorder="1" applyAlignment="1">
      <alignment horizontal="right"/>
    </xf>
    <xf numFmtId="8" fontId="3" fillId="9" borderId="12" xfId="0" applyNumberFormat="1" applyFont="1" applyFill="1" applyBorder="1" applyAlignment="1">
      <alignment horizontal="right"/>
    </xf>
    <xf numFmtId="8" fontId="3" fillId="9" borderId="12" xfId="0" applyNumberFormat="1" applyFont="1" applyFill="1" applyBorder="1"/>
    <xf numFmtId="166" fontId="3" fillId="9" borderId="3" xfId="0" applyNumberFormat="1" applyFont="1" applyFill="1" applyBorder="1" applyAlignment="1">
      <alignment horizontal="right"/>
    </xf>
    <xf numFmtId="166" fontId="3" fillId="9" borderId="3" xfId="0" applyNumberFormat="1" applyFont="1" applyFill="1" applyBorder="1" applyAlignment="1">
      <alignment horizontal="left"/>
    </xf>
    <xf numFmtId="8" fontId="0" fillId="0" borderId="0" xfId="0" applyNumberFormat="1" applyFont="1" applyFill="1" applyAlignment="1">
      <alignment wrapText="1"/>
    </xf>
    <xf numFmtId="1" fontId="0" fillId="0" borderId="0" xfId="0" applyNumberFormat="1" applyFont="1" applyFill="1" applyAlignment="1"/>
    <xf numFmtId="8" fontId="34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6" fillId="0" borderId="0" xfId="0" applyFont="1" applyFill="1"/>
    <xf numFmtId="8" fontId="6" fillId="0" borderId="3" xfId="0" applyNumberFormat="1" applyFont="1" applyFill="1" applyBorder="1"/>
    <xf numFmtId="8" fontId="6" fillId="0" borderId="0" xfId="0" applyNumberFormat="1" applyFont="1" applyFill="1"/>
    <xf numFmtId="165" fontId="3" fillId="0" borderId="3" xfId="0" applyNumberFormat="1" applyFont="1" applyFill="1" applyBorder="1"/>
    <xf numFmtId="165" fontId="0" fillId="0" borderId="3" xfId="0" applyNumberFormat="1" applyFont="1" applyFill="1" applyBorder="1"/>
    <xf numFmtId="165" fontId="0" fillId="0" borderId="3" xfId="0" applyNumberFormat="1" applyFont="1" applyFill="1" applyBorder="1" applyAlignment="1"/>
    <xf numFmtId="0" fontId="20" fillId="0" borderId="3" xfId="0" applyFont="1" applyFill="1" applyBorder="1"/>
    <xf numFmtId="165" fontId="15" fillId="0" borderId="0" xfId="0" applyNumberFormat="1" applyFont="1" applyFill="1"/>
    <xf numFmtId="165" fontId="2" fillId="0" borderId="3" xfId="0" applyNumberFormat="1" applyFont="1" applyFill="1" applyBorder="1"/>
    <xf numFmtId="0" fontId="2" fillId="0" borderId="0" xfId="0" applyFont="1" applyFill="1"/>
    <xf numFmtId="8" fontId="8" fillId="0" borderId="3" xfId="0" applyNumberFormat="1" applyFont="1" applyFill="1" applyBorder="1" applyAlignment="1">
      <alignment horizontal="right"/>
    </xf>
    <xf numFmtId="8" fontId="3" fillId="0" borderId="3" xfId="0" applyNumberFormat="1" applyFont="1" applyFill="1" applyBorder="1" applyAlignment="1">
      <alignment vertical="top"/>
    </xf>
    <xf numFmtId="8" fontId="39" fillId="9" borderId="0" xfId="0" applyNumberFormat="1" applyFont="1" applyFill="1"/>
    <xf numFmtId="168" fontId="88" fillId="0" borderId="0" xfId="0" applyNumberFormat="1" applyFont="1" applyFill="1" applyAlignment="1">
      <alignment horizontal="left" vertical="top"/>
    </xf>
    <xf numFmtId="0" fontId="69" fillId="9" borderId="3" xfId="0" applyFont="1" applyFill="1" applyBorder="1" applyAlignment="1">
      <alignment wrapText="1"/>
    </xf>
    <xf numFmtId="0" fontId="69" fillId="9" borderId="0" xfId="0" applyFont="1" applyFill="1" applyAlignment="1">
      <alignment wrapText="1"/>
    </xf>
    <xf numFmtId="8" fontId="89" fillId="0" borderId="0" xfId="0" applyNumberFormat="1" applyFont="1" applyAlignment="1">
      <alignment wrapText="1"/>
    </xf>
    <xf numFmtId="0" fontId="0" fillId="0" borderId="0" xfId="0" applyFont="1" applyAlignment="1"/>
    <xf numFmtId="168" fontId="0" fillId="0" borderId="0" xfId="0" applyNumberFormat="1" applyFont="1" applyAlignment="1">
      <alignment horizontal="left"/>
    </xf>
    <xf numFmtId="0" fontId="11" fillId="0" borderId="0" xfId="0" applyFont="1" applyFill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 applyAlignment="1">
      <alignment horizontal="center"/>
    </xf>
    <xf numFmtId="166" fontId="8" fillId="0" borderId="0" xfId="0" applyNumberFormat="1" applyFont="1" applyFill="1"/>
    <xf numFmtId="6" fontId="0" fillId="0" borderId="0" xfId="0" applyNumberFormat="1" applyFont="1" applyFill="1"/>
    <xf numFmtId="0" fontId="58" fillId="0" borderId="3" xfId="0" applyFont="1" applyFill="1" applyBorder="1" applyAlignment="1">
      <alignment horizontal="left" wrapText="1"/>
    </xf>
    <xf numFmtId="1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29" fillId="0" borderId="0" xfId="0" applyFont="1" applyFill="1"/>
    <xf numFmtId="8" fontId="62" fillId="9" borderId="0" xfId="0" applyNumberFormat="1" applyFont="1" applyFill="1" applyAlignment="1">
      <alignment wrapText="1"/>
    </xf>
    <xf numFmtId="1" fontId="36" fillId="9" borderId="0" xfId="0" applyNumberFormat="1" applyFont="1" applyFill="1" applyAlignment="1">
      <alignment horizontal="right"/>
    </xf>
    <xf numFmtId="1" fontId="37" fillId="9" borderId="0" xfId="0" applyNumberFormat="1" applyFont="1" applyFill="1" applyAlignment="1">
      <alignment horizontal="right"/>
    </xf>
    <xf numFmtId="0" fontId="37" fillId="9" borderId="0" xfId="0" applyFont="1" applyFill="1" applyAlignment="1">
      <alignment horizontal="left" wrapText="1"/>
    </xf>
    <xf numFmtId="8" fontId="23" fillId="9" borderId="0" xfId="0" applyNumberFormat="1" applyFont="1" applyFill="1" applyAlignment="1">
      <alignment wrapText="1"/>
    </xf>
    <xf numFmtId="8" fontId="33" fillId="9" borderId="0" xfId="0" applyNumberFormat="1" applyFont="1" applyFill="1" applyAlignment="1">
      <alignment wrapText="1"/>
    </xf>
    <xf numFmtId="1" fontId="58" fillId="9" borderId="0" xfId="0" applyNumberFormat="1" applyFont="1" applyFill="1" applyAlignment="1">
      <alignment horizontal="right"/>
    </xf>
    <xf numFmtId="168" fontId="0" fillId="0" borderId="3" xfId="0" applyNumberFormat="1" applyFont="1" applyFill="1" applyBorder="1"/>
    <xf numFmtId="8" fontId="76" fillId="0" borderId="0" xfId="0" applyNumberFormat="1" applyFont="1" applyFill="1" applyAlignment="1"/>
    <xf numFmtId="8" fontId="3" fillId="0" borderId="0" xfId="0" applyNumberFormat="1" applyFont="1" applyFill="1" applyAlignment="1">
      <alignment wrapText="1"/>
    </xf>
    <xf numFmtId="0" fontId="64" fillId="0" borderId="3" xfId="0" applyFont="1" applyFill="1" applyBorder="1" applyAlignment="1">
      <alignment horizontal="left" wrapText="1"/>
    </xf>
    <xf numFmtId="8" fontId="0" fillId="9" borderId="3" xfId="0" applyNumberFormat="1" applyFont="1" applyFill="1" applyBorder="1" applyAlignment="1">
      <alignment wrapText="1"/>
    </xf>
    <xf numFmtId="8" fontId="15" fillId="9" borderId="0" xfId="0" applyNumberFormat="1" applyFont="1" applyFill="1" applyAlignment="1">
      <alignment wrapText="1"/>
    </xf>
    <xf numFmtId="8" fontId="58" fillId="9" borderId="0" xfId="0" applyNumberFormat="1" applyFont="1" applyFill="1" applyAlignment="1">
      <alignment wrapText="1"/>
    </xf>
    <xf numFmtId="8" fontId="76" fillId="9" borderId="0" xfId="0" applyNumberFormat="1" applyFont="1" applyFill="1"/>
    <xf numFmtId="0" fontId="15" fillId="9" borderId="0" xfId="0" applyFont="1" applyFill="1" applyAlignment="1">
      <alignment horizontal="left" wrapText="1"/>
    </xf>
    <xf numFmtId="0" fontId="33" fillId="0" borderId="0" xfId="0" applyFont="1" applyFill="1" applyAlignment="1">
      <alignment wrapText="1"/>
    </xf>
    <xf numFmtId="8" fontId="69" fillId="0" borderId="0" xfId="0" applyNumberFormat="1" applyFont="1" applyFill="1" applyAlignment="1">
      <alignment horizontal="right"/>
    </xf>
    <xf numFmtId="8" fontId="23" fillId="0" borderId="0" xfId="0" applyNumberFormat="1" applyFont="1" applyFill="1"/>
    <xf numFmtId="1" fontId="15" fillId="0" borderId="0" xfId="0" applyNumberFormat="1" applyFont="1" applyFill="1" applyAlignment="1">
      <alignment horizontal="left"/>
    </xf>
    <xf numFmtId="8" fontId="34" fillId="9" borderId="3" xfId="0" applyNumberFormat="1" applyFont="1" applyFill="1" applyBorder="1" applyAlignment="1">
      <alignment horizontal="left" wrapText="1"/>
    </xf>
    <xf numFmtId="0" fontId="37" fillId="9" borderId="3" xfId="0" applyFont="1" applyFill="1" applyBorder="1"/>
    <xf numFmtId="0" fontId="3" fillId="9" borderId="3" xfId="0" applyFont="1" applyFill="1" applyBorder="1"/>
    <xf numFmtId="8" fontId="60" fillId="9" borderId="3" xfId="0" applyNumberFormat="1" applyFont="1" applyFill="1" applyBorder="1"/>
    <xf numFmtId="0" fontId="64" fillId="9" borderId="3" xfId="0" applyFont="1" applyFill="1" applyBorder="1" applyAlignment="1">
      <alignment wrapText="1"/>
    </xf>
    <xf numFmtId="8" fontId="76" fillId="0" borderId="0" xfId="0" quotePrefix="1" applyNumberFormat="1" applyFont="1"/>
    <xf numFmtId="3" fontId="0" fillId="0" borderId="3" xfId="0" applyNumberFormat="1" applyFont="1" applyFill="1" applyBorder="1" applyAlignment="1"/>
    <xf numFmtId="8" fontId="8" fillId="0" borderId="0" xfId="0" applyNumberFormat="1" applyFont="1" applyFill="1" applyAlignment="1">
      <alignment horizontal="right"/>
    </xf>
    <xf numFmtId="8" fontId="13" fillId="0" borderId="0" xfId="0" applyNumberFormat="1" applyFont="1" applyFill="1"/>
    <xf numFmtId="8" fontId="13" fillId="0" borderId="13" xfId="0" applyNumberFormat="1" applyFont="1" applyFill="1" applyBorder="1"/>
    <xf numFmtId="0" fontId="3" fillId="9" borderId="0" xfId="0" applyFont="1" applyFill="1"/>
    <xf numFmtId="0" fontId="0" fillId="9" borderId="0" xfId="0" applyFont="1" applyFill="1"/>
    <xf numFmtId="169" fontId="0" fillId="9" borderId="3" xfId="0" applyNumberFormat="1" applyFont="1" applyFill="1" applyBorder="1" applyAlignment="1">
      <alignment horizontal="right"/>
    </xf>
    <xf numFmtId="8" fontId="8" fillId="9" borderId="3" xfId="0" applyNumberFormat="1" applyFont="1" applyFill="1" applyBorder="1" applyAlignment="1">
      <alignment horizontal="right"/>
    </xf>
    <xf numFmtId="165" fontId="17" fillId="0" borderId="28" xfId="0" applyNumberFormat="1" applyFont="1" applyBorder="1" applyAlignment="1"/>
    <xf numFmtId="9" fontId="0" fillId="0" borderId="0" xfId="0" applyNumberFormat="1" applyFont="1" applyAlignment="1"/>
    <xf numFmtId="164" fontId="0" fillId="0" borderId="0" xfId="3" applyNumberFormat="1" applyFont="1" applyAlignment="1"/>
    <xf numFmtId="164" fontId="0" fillId="0" borderId="0" xfId="0" applyNumberFormat="1" applyFont="1"/>
    <xf numFmtId="164" fontId="0" fillId="0" borderId="0" xfId="0" applyNumberFormat="1" applyFont="1" applyAlignment="1"/>
    <xf numFmtId="164" fontId="0" fillId="0" borderId="0" xfId="3" applyNumberFormat="1" applyFont="1"/>
    <xf numFmtId="165" fontId="0" fillId="0" borderId="0" xfId="0" applyNumberFormat="1" applyFont="1" applyFill="1" applyAlignment="1"/>
    <xf numFmtId="165" fontId="3" fillId="0" borderId="0" xfId="0" applyNumberFormat="1" applyFont="1" applyFill="1"/>
    <xf numFmtId="165" fontId="0" fillId="0" borderId="7" xfId="0" applyNumberFormat="1" applyFont="1" applyFill="1" applyBorder="1" applyAlignment="1"/>
    <xf numFmtId="165" fontId="3" fillId="0" borderId="7" xfId="0" applyNumberFormat="1" applyFont="1" applyFill="1" applyBorder="1"/>
    <xf numFmtId="165" fontId="0" fillId="9" borderId="3" xfId="0" applyNumberFormat="1" applyFont="1" applyFill="1" applyBorder="1" applyAlignment="1"/>
    <xf numFmtId="165" fontId="3" fillId="9" borderId="3" xfId="0" applyNumberFormat="1" applyFont="1" applyFill="1" applyBorder="1"/>
    <xf numFmtId="165" fontId="0" fillId="0" borderId="0" xfId="0" applyNumberFormat="1" applyFont="1" applyFill="1"/>
    <xf numFmtId="165" fontId="0" fillId="0" borderId="7" xfId="0" applyNumberFormat="1" applyFont="1" applyFill="1" applyBorder="1"/>
    <xf numFmtId="165" fontId="0" fillId="9" borderId="3" xfId="0" applyNumberFormat="1" applyFont="1" applyFill="1" applyBorder="1"/>
    <xf numFmtId="10" fontId="8" fillId="9" borderId="3" xfId="0" applyNumberFormat="1" applyFont="1" applyFill="1" applyBorder="1"/>
    <xf numFmtId="164" fontId="0" fillId="0" borderId="0" xfId="0" applyNumberFormat="1" applyFont="1" applyFill="1"/>
    <xf numFmtId="164" fontId="0" fillId="0" borderId="0" xfId="0" applyNumberFormat="1" applyFont="1" applyFill="1" applyAlignment="1"/>
    <xf numFmtId="165" fontId="0" fillId="0" borderId="0" xfId="2" applyNumberFormat="1" applyFont="1" applyFill="1"/>
    <xf numFmtId="164" fontId="0" fillId="0" borderId="0" xfId="3" applyNumberFormat="1" applyFont="1" applyFill="1" applyAlignment="1"/>
    <xf numFmtId="8" fontId="64" fillId="9" borderId="0" xfId="0" applyNumberFormat="1" applyFont="1" applyFill="1" applyAlignment="1">
      <alignment wrapText="1"/>
    </xf>
    <xf numFmtId="1" fontId="3" fillId="0" borderId="12" xfId="0" applyNumberFormat="1" applyFont="1" applyFill="1" applyBorder="1" applyAlignment="1">
      <alignment horizontal="right"/>
    </xf>
    <xf numFmtId="8" fontId="0" fillId="0" borderId="1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/>
    <xf numFmtId="8" fontId="63" fillId="0" borderId="0" xfId="0" applyNumberFormat="1" applyFont="1" applyFill="1"/>
    <xf numFmtId="0" fontId="58" fillId="0" borderId="0" xfId="0" applyFont="1" applyFill="1" applyAlignment="1">
      <alignment wrapText="1"/>
    </xf>
    <xf numFmtId="8" fontId="46" fillId="0" borderId="0" xfId="0" applyNumberFormat="1" applyFont="1" applyFill="1"/>
    <xf numFmtId="1" fontId="3" fillId="0" borderId="0" xfId="0" applyNumberFormat="1" applyFont="1" applyFill="1" applyAlignment="1"/>
    <xf numFmtId="8" fontId="14" fillId="9" borderId="12" xfId="0" applyNumberFormat="1" applyFont="1" applyFill="1" applyBorder="1"/>
    <xf numFmtId="1" fontId="3" fillId="9" borderId="12" xfId="0" applyNumberFormat="1" applyFont="1" applyFill="1" applyBorder="1" applyAlignment="1">
      <alignment horizontal="right"/>
    </xf>
    <xf numFmtId="1" fontId="3" fillId="9" borderId="12" xfId="0" applyNumberFormat="1" applyFont="1" applyFill="1" applyBorder="1" applyAlignment="1">
      <alignment horizontal="left"/>
    </xf>
    <xf numFmtId="8" fontId="0" fillId="9" borderId="12" xfId="0" applyNumberFormat="1" applyFont="1" applyFill="1" applyBorder="1" applyAlignment="1">
      <alignment horizontal="right"/>
    </xf>
    <xf numFmtId="3" fontId="3" fillId="9" borderId="3" xfId="0" applyNumberFormat="1" applyFont="1" applyFill="1" applyBorder="1"/>
    <xf numFmtId="1" fontId="16" fillId="9" borderId="3" xfId="0" applyNumberFormat="1" applyFont="1" applyFill="1" applyBorder="1" applyAlignment="1">
      <alignment horizontal="right"/>
    </xf>
    <xf numFmtId="8" fontId="90" fillId="9" borderId="12" xfId="0" applyNumberFormat="1" applyFont="1" applyFill="1" applyBorder="1"/>
    <xf numFmtId="0" fontId="64" fillId="9" borderId="12" xfId="0" applyFont="1" applyFill="1" applyBorder="1" applyAlignment="1">
      <alignment wrapText="1"/>
    </xf>
    <xf numFmtId="1" fontId="0" fillId="9" borderId="12" xfId="0" applyNumberFormat="1" applyFont="1" applyFill="1" applyBorder="1"/>
    <xf numFmtId="1" fontId="0" fillId="9" borderId="12" xfId="0" applyNumberFormat="1" applyFont="1" applyFill="1" applyBorder="1" applyAlignment="1">
      <alignment horizontal="right"/>
    </xf>
    <xf numFmtId="8" fontId="0" fillId="9" borderId="12" xfId="0" applyNumberFormat="1" applyFont="1" applyFill="1" applyBorder="1"/>
    <xf numFmtId="8" fontId="90" fillId="0" borderId="12" xfId="0" applyNumberFormat="1" applyFont="1" applyFill="1" applyBorder="1"/>
    <xf numFmtId="0" fontId="64" fillId="0" borderId="12" xfId="0" applyFont="1" applyFill="1" applyBorder="1" applyAlignment="1">
      <alignment wrapText="1"/>
    </xf>
    <xf numFmtId="1" fontId="0" fillId="0" borderId="12" xfId="0" applyNumberFormat="1" applyFont="1" applyFill="1" applyBorder="1"/>
    <xf numFmtId="1" fontId="0" fillId="0" borderId="12" xfId="0" applyNumberFormat="1" applyFont="1" applyFill="1" applyBorder="1" applyAlignment="1">
      <alignment horizontal="right"/>
    </xf>
    <xf numFmtId="8" fontId="0" fillId="0" borderId="12" xfId="0" applyNumberFormat="1" applyFont="1" applyFill="1" applyBorder="1"/>
    <xf numFmtId="8" fontId="35" fillId="0" borderId="12" xfId="0" applyNumberFormat="1" applyFont="1" applyFill="1" applyBorder="1"/>
    <xf numFmtId="8" fontId="58" fillId="0" borderId="12" xfId="0" applyNumberFormat="1" applyFont="1" applyFill="1" applyBorder="1" applyAlignment="1">
      <alignment wrapText="1"/>
    </xf>
    <xf numFmtId="167" fontId="0" fillId="10" borderId="3" xfId="0" applyNumberFormat="1" applyFont="1" applyFill="1" applyBorder="1" applyAlignment="1">
      <alignment horizontal="center"/>
    </xf>
    <xf numFmtId="6" fontId="10" fillId="10" borderId="3" xfId="0" applyNumberFormat="1" applyFont="1" applyFill="1" applyBorder="1"/>
    <xf numFmtId="165" fontId="3" fillId="0" borderId="0" xfId="0" applyNumberFormat="1" applyFont="1" applyFill="1" applyAlignment="1"/>
    <xf numFmtId="0" fontId="23" fillId="0" borderId="3" xfId="0" applyFont="1" applyFill="1" applyBorder="1" applyAlignment="1">
      <alignment wrapText="1"/>
    </xf>
    <xf numFmtId="167" fontId="3" fillId="0" borderId="0" xfId="0" applyNumberFormat="1" applyFont="1" applyFill="1"/>
    <xf numFmtId="6" fontId="10" fillId="0" borderId="0" xfId="0" applyNumberFormat="1" applyFont="1" applyFill="1"/>
    <xf numFmtId="6" fontId="8" fillId="0" borderId="0" xfId="0" applyNumberFormat="1" applyFont="1" applyFill="1"/>
    <xf numFmtId="6" fontId="3" fillId="0" borderId="0" xfId="0" applyNumberFormat="1" applyFont="1" applyFill="1"/>
    <xf numFmtId="0" fontId="62" fillId="10" borderId="3" xfId="0" applyFont="1" applyFill="1" applyBorder="1"/>
    <xf numFmtId="167" fontId="0" fillId="10" borderId="3" xfId="0" applyNumberFormat="1" applyFont="1" applyFill="1" applyBorder="1" applyAlignment="1">
      <alignment horizontal="left"/>
    </xf>
    <xf numFmtId="6" fontId="0" fillId="10" borderId="3" xfId="0" applyNumberFormat="1" applyFont="1" applyFill="1" applyBorder="1"/>
    <xf numFmtId="0" fontId="84" fillId="0" borderId="0" xfId="0" applyFont="1" applyFill="1"/>
    <xf numFmtId="5" fontId="58" fillId="0" borderId="3" xfId="0" applyNumberFormat="1" applyFont="1" applyFill="1" applyBorder="1"/>
    <xf numFmtId="0" fontId="23" fillId="0" borderId="0" xfId="0" applyFont="1" applyFill="1"/>
    <xf numFmtId="165" fontId="8" fillId="0" borderId="0" xfId="0" applyNumberFormat="1" applyFont="1" applyFill="1"/>
    <xf numFmtId="0" fontId="80" fillId="0" borderId="0" xfId="0" applyFont="1" applyFill="1"/>
    <xf numFmtId="0" fontId="62" fillId="0" borderId="0" xfId="0" applyFont="1" applyFill="1"/>
    <xf numFmtId="0" fontId="23" fillId="9" borderId="3" xfId="0" applyFont="1" applyFill="1" applyBorder="1"/>
    <xf numFmtId="167" fontId="64" fillId="9" borderId="3" xfId="0" applyNumberFormat="1" applyFont="1" applyFill="1" applyBorder="1" applyAlignment="1">
      <alignment horizontal="left"/>
    </xf>
    <xf numFmtId="167" fontId="0" fillId="9" borderId="3" xfId="0" applyNumberFormat="1" applyFont="1" applyFill="1" applyBorder="1" applyAlignment="1">
      <alignment horizontal="center"/>
    </xf>
    <xf numFmtId="167" fontId="0" fillId="9" borderId="3" xfId="0" applyNumberFormat="1" applyFont="1" applyFill="1" applyBorder="1" applyAlignment="1">
      <alignment horizontal="right"/>
    </xf>
    <xf numFmtId="6" fontId="10" fillId="9" borderId="3" xfId="0" applyNumberFormat="1" applyFont="1" applyFill="1" applyBorder="1"/>
    <xf numFmtId="6" fontId="3" fillId="9" borderId="3" xfId="0" applyNumberFormat="1" applyFont="1" applyFill="1" applyBorder="1"/>
    <xf numFmtId="6" fontId="8" fillId="9" borderId="3" xfId="0" applyNumberFormat="1" applyFont="1" applyFill="1" applyBorder="1"/>
    <xf numFmtId="165" fontId="15" fillId="10" borderId="5" xfId="0" applyNumberFormat="1" applyFont="1" applyFill="1" applyBorder="1"/>
    <xf numFmtId="0" fontId="0" fillId="0" borderId="0" xfId="0" applyFont="1" applyAlignment="1"/>
    <xf numFmtId="8" fontId="14" fillId="3" borderId="12" xfId="0" applyNumberFormat="1" applyFont="1" applyFill="1" applyBorder="1" applyAlignment="1">
      <alignment wrapText="1"/>
    </xf>
    <xf numFmtId="8" fontId="14" fillId="0" borderId="12" xfId="0" applyNumberFormat="1" applyFont="1" applyFill="1" applyBorder="1" applyAlignment="1">
      <alignment wrapText="1"/>
    </xf>
    <xf numFmtId="8" fontId="14" fillId="3" borderId="12" xfId="0" applyNumberFormat="1" applyFont="1" applyFill="1" applyBorder="1"/>
    <xf numFmtId="8" fontId="14" fillId="0" borderId="12" xfId="0" applyNumberFormat="1" applyFont="1" applyFill="1" applyBorder="1"/>
    <xf numFmtId="8" fontId="14" fillId="0" borderId="12" xfId="0" applyNumberFormat="1" applyFont="1" applyFill="1" applyBorder="1" applyAlignment="1">
      <alignment vertical="center"/>
    </xf>
    <xf numFmtId="8" fontId="14" fillId="0" borderId="12" xfId="0" applyNumberFormat="1" applyFont="1" applyFill="1" applyBorder="1" applyAlignment="1"/>
    <xf numFmtId="8" fontId="14" fillId="0" borderId="12" xfId="0" applyNumberFormat="1" applyFont="1" applyFill="1" applyBorder="1" applyAlignment="1">
      <alignment vertical="top"/>
    </xf>
    <xf numFmtId="8" fontId="23" fillId="0" borderId="0" xfId="0" applyNumberFormat="1" applyFont="1" applyFill="1" applyAlignment="1">
      <alignment wrapText="1"/>
    </xf>
    <xf numFmtId="8" fontId="14" fillId="0" borderId="0" xfId="0" applyNumberFormat="1" applyFont="1" applyFill="1" applyAlignment="1"/>
    <xf numFmtId="8" fontId="14" fillId="9" borderId="12" xfId="0" applyNumberFormat="1" applyFont="1" applyFill="1" applyBorder="1" applyAlignment="1"/>
    <xf numFmtId="8" fontId="14" fillId="0" borderId="0" xfId="0" applyNumberFormat="1" applyFont="1" applyFill="1" applyAlignment="1">
      <alignment vertical="center"/>
    </xf>
    <xf numFmtId="8" fontId="35" fillId="9" borderId="12" xfId="0" applyNumberFormat="1" applyFont="1" applyFill="1" applyBorder="1" applyAlignment="1"/>
    <xf numFmtId="8" fontId="3" fillId="0" borderId="0" xfId="0" applyNumberFormat="1" applyFont="1" applyFill="1" applyAlignment="1">
      <alignment horizontal="left" wrapText="1"/>
    </xf>
    <xf numFmtId="8" fontId="27" fillId="0" borderId="0" xfId="0" applyNumberFormat="1" applyFont="1" applyFill="1" applyAlignment="1">
      <alignment wrapText="1"/>
    </xf>
    <xf numFmtId="8" fontId="29" fillId="0" borderId="0" xfId="0" applyNumberFormat="1" applyFont="1" applyFill="1"/>
    <xf numFmtId="0" fontId="23" fillId="0" borderId="0" xfId="0" applyFont="1" applyAlignment="1"/>
    <xf numFmtId="8" fontId="14" fillId="11" borderId="12" xfId="0" applyNumberFormat="1" applyFont="1" applyFill="1" applyBorder="1" applyAlignment="1">
      <alignment horizontal="left" wrapText="1"/>
    </xf>
    <xf numFmtId="8" fontId="14" fillId="0" borderId="12" xfId="0" applyNumberFormat="1" applyFont="1" applyFill="1" applyBorder="1" applyAlignment="1">
      <alignment horizontal="left" wrapText="1"/>
    </xf>
    <xf numFmtId="8" fontId="14" fillId="3" borderId="12" xfId="0" applyNumberFormat="1" applyFont="1" applyFill="1" applyBorder="1" applyAlignment="1"/>
    <xf numFmtId="8" fontId="7" fillId="5" borderId="3" xfId="0" applyNumberFormat="1" applyFont="1" applyFill="1" applyBorder="1" applyAlignment="1">
      <alignment horizontal="left" wrapText="1"/>
    </xf>
    <xf numFmtId="8" fontId="7" fillId="0" borderId="0" xfId="0" applyNumberFormat="1" applyFont="1" applyAlignment="1">
      <alignment wrapText="1"/>
    </xf>
    <xf numFmtId="8" fontId="3" fillId="0" borderId="28" xfId="0" applyNumberFormat="1" applyFont="1" applyBorder="1"/>
    <xf numFmtId="8" fontId="4" fillId="2" borderId="12" xfId="0" applyNumberFormat="1" applyFont="1" applyFill="1" applyBorder="1" applyAlignment="1">
      <alignment horizontal="center"/>
    </xf>
    <xf numFmtId="8" fontId="39" fillId="0" borderId="0" xfId="0" applyNumberFormat="1" applyFont="1" applyAlignment="1">
      <alignment wrapText="1"/>
    </xf>
    <xf numFmtId="0" fontId="23" fillId="0" borderId="0" xfId="0" applyFont="1"/>
    <xf numFmtId="49" fontId="0" fillId="0" borderId="0" xfId="0" applyNumberFormat="1" applyFont="1" applyAlignment="1"/>
    <xf numFmtId="170" fontId="0" fillId="0" borderId="0" xfId="0" applyNumberFormat="1" applyFont="1" applyAlignment="1"/>
    <xf numFmtId="171" fontId="0" fillId="0" borderId="0" xfId="0" applyNumberFormat="1" applyFont="1" applyAlignment="1"/>
    <xf numFmtId="171" fontId="0" fillId="0" borderId="12" xfId="0" applyNumberFormat="1" applyFont="1" applyBorder="1" applyAlignment="1"/>
    <xf numFmtId="171" fontId="0" fillId="0" borderId="30" xfId="0" applyNumberFormat="1" applyFont="1" applyBorder="1" applyAlignment="1"/>
    <xf numFmtId="171" fontId="0" fillId="0" borderId="31" xfId="0" applyNumberFormat="1" applyFont="1" applyBorder="1" applyAlignment="1"/>
    <xf numFmtId="49" fontId="0" fillId="0" borderId="29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Font="1" applyAlignment="1">
      <alignment horizontal="center"/>
    </xf>
    <xf numFmtId="8" fontId="3" fillId="9" borderId="3" xfId="0" applyNumberFormat="1" applyFont="1" applyFill="1" applyBorder="1" applyAlignment="1">
      <alignment vertical="top"/>
    </xf>
    <xf numFmtId="8" fontId="92" fillId="0" borderId="0" xfId="0" applyNumberFormat="1" applyFont="1" applyAlignment="1">
      <alignment wrapText="1"/>
    </xf>
    <xf numFmtId="8" fontId="66" fillId="0" borderId="0" xfId="0" applyNumberFormat="1" applyFont="1"/>
    <xf numFmtId="8" fontId="66" fillId="3" borderId="12" xfId="0" applyNumberFormat="1" applyFont="1" applyFill="1" applyBorder="1"/>
    <xf numFmtId="8" fontId="66" fillId="9" borderId="0" xfId="0" applyNumberFormat="1" applyFont="1" applyFill="1"/>
    <xf numFmtId="8" fontId="3" fillId="9" borderId="0" xfId="0" applyNumberFormat="1" applyFont="1" applyFill="1" applyAlignment="1">
      <alignment vertical="top"/>
    </xf>
    <xf numFmtId="8" fontId="3" fillId="0" borderId="0" xfId="0" applyNumberFormat="1" applyFont="1" applyFill="1" applyAlignment="1">
      <alignment vertical="top"/>
    </xf>
    <xf numFmtId="0" fontId="0" fillId="0" borderId="0" xfId="0" applyFont="1" applyAlignment="1"/>
    <xf numFmtId="0" fontId="0" fillId="0" borderId="0" xfId="0" applyFont="1" applyAlignment="1"/>
    <xf numFmtId="0" fontId="3" fillId="0" borderId="12" xfId="0" applyFont="1" applyFill="1" applyBorder="1" applyAlignment="1">
      <alignment horizontal="left" wrapText="1"/>
    </xf>
    <xf numFmtId="1" fontId="15" fillId="0" borderId="12" xfId="0" applyNumberFormat="1" applyFont="1" applyFill="1" applyBorder="1" applyAlignment="1">
      <alignment horizontal="left"/>
    </xf>
    <xf numFmtId="1" fontId="3" fillId="0" borderId="12" xfId="0" applyNumberFormat="1" applyFont="1" applyFill="1" applyBorder="1" applyAlignment="1">
      <alignment horizontal="left"/>
    </xf>
    <xf numFmtId="8" fontId="58" fillId="0" borderId="12" xfId="0" applyNumberFormat="1" applyFont="1" applyFill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38" fillId="0" borderId="6" xfId="0" applyNumberFormat="1" applyFont="1" applyBorder="1"/>
    <xf numFmtId="44" fontId="2" fillId="0" borderId="0" xfId="0" applyNumberFormat="1" applyFont="1"/>
    <xf numFmtId="44" fontId="38" fillId="3" borderId="16" xfId="0" applyNumberFormat="1" applyFont="1" applyFill="1" applyBorder="1"/>
    <xf numFmtId="6" fontId="17" fillId="3" borderId="16" xfId="0" applyNumberFormat="1" applyFont="1" applyFill="1" applyBorder="1"/>
    <xf numFmtId="166" fontId="38" fillId="0" borderId="6" xfId="0" applyNumberFormat="1" applyFont="1" applyBorder="1"/>
    <xf numFmtId="49" fontId="0" fillId="0" borderId="0" xfId="0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8" fontId="15" fillId="0" borderId="28" xfId="0" applyNumberFormat="1" applyFont="1" applyBorder="1"/>
    <xf numFmtId="49" fontId="64" fillId="0" borderId="0" xfId="0" applyNumberFormat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165" fontId="0" fillId="0" borderId="0" xfId="0" applyNumberFormat="1" applyFont="1" applyAlignment="1">
      <alignment horizontal="center"/>
    </xf>
    <xf numFmtId="8" fontId="7" fillId="4" borderId="10" xfId="0" applyNumberFormat="1" applyFont="1" applyFill="1" applyBorder="1" applyAlignment="1">
      <alignment horizontal="left" wrapText="1"/>
    </xf>
    <xf numFmtId="0" fontId="22" fillId="0" borderId="11" xfId="0" applyFont="1" applyBorder="1"/>
    <xf numFmtId="0" fontId="22" fillId="0" borderId="12" xfId="0" applyFont="1" applyBorder="1"/>
    <xf numFmtId="8" fontId="7" fillId="4" borderId="12" xfId="0" applyNumberFormat="1" applyFont="1" applyFill="1" applyBorder="1" applyAlignment="1">
      <alignment horizontal="left" wrapText="1"/>
    </xf>
    <xf numFmtId="168" fontId="0" fillId="0" borderId="0" xfId="0" applyNumberFormat="1" applyFont="1" applyAlignment="1">
      <alignment horizontal="left"/>
    </xf>
    <xf numFmtId="8" fontId="7" fillId="4" borderId="10" xfId="0" applyNumberFormat="1" applyFont="1" applyFill="1" applyBorder="1" applyAlignment="1">
      <alignment horizontal="left"/>
    </xf>
    <xf numFmtId="8" fontId="7" fillId="4" borderId="12" xfId="0" applyNumberFormat="1" applyFont="1" applyFill="1" applyBorder="1" applyAlignment="1">
      <alignment horizontal="left"/>
    </xf>
    <xf numFmtId="8" fontId="67" fillId="4" borderId="10" xfId="0" applyNumberFormat="1" applyFont="1" applyFill="1" applyBorder="1" applyAlignment="1">
      <alignment horizontal="left" wrapText="1"/>
    </xf>
    <xf numFmtId="8" fontId="67" fillId="4" borderId="12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3" xfId="5" xr:uid="{00000000-0005-0000-0000-000004000000}"/>
    <cellStyle name="Percent" xfId="3" builtinId="5"/>
  </cellStyles>
  <dxfs count="108"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F99FF"/>
      <color rgb="FF4472C4"/>
      <color rgb="FFFB6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2019 Approved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97E-4C5B-9A56-5BBA685DC5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97E-4C5B-9A56-5BBA685DC5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97E-4C5B-9A56-5BBA685DC5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97E-4C5B-9A56-5BBA685DC5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97E-4C5B-9A56-5BBA685DC5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'Recap chart'!$C$4:$C$8</c:f>
              <c:strCache>
                <c:ptCount val="5"/>
                <c:pt idx="0">
                  <c:v>Personnel</c:v>
                </c:pt>
                <c:pt idx="1">
                  <c:v>Supplies</c:v>
                </c:pt>
                <c:pt idx="2">
                  <c:v>Services</c:v>
                </c:pt>
                <c:pt idx="3">
                  <c:v>Debt</c:v>
                </c:pt>
                <c:pt idx="4">
                  <c:v>Capital Outlay</c:v>
                </c:pt>
              </c:strCache>
            </c:strRef>
          </c:cat>
          <c:val>
            <c:numRef>
              <c:f>'Recap chart'!$E$4:$E$8</c:f>
              <c:numCache>
                <c:formatCode>0.00%</c:formatCode>
                <c:ptCount val="5"/>
                <c:pt idx="0">
                  <c:v>0.70372057706909641</c:v>
                </c:pt>
                <c:pt idx="1">
                  <c:v>3.5418491910519247E-2</c:v>
                </c:pt>
                <c:pt idx="2">
                  <c:v>0.20121488230827639</c:v>
                </c:pt>
                <c:pt idx="3">
                  <c:v>4.9716722154079789E-2</c:v>
                </c:pt>
                <c:pt idx="4">
                  <c:v>9.9293265580281519E-3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7E-4C5B-9A56-5BBA685DC54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2800" b="1" i="0"/>
            </a:pPr>
            <a:r>
              <a:rPr lang="en-US"/>
              <a:t>2019 Approved Budget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4826054046615608E-2"/>
          <c:y val="0.16554162729658767"/>
          <c:w val="0.67036165423142824"/>
          <c:h val="0.762116745406824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6AC3-4F48-9777-07F7032660B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6AC3-4F48-9777-07F7032660B0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6AC3-4F48-9777-07F7032660B0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6AC3-4F48-9777-07F7032660B0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6AC3-4F48-9777-07F7032660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'Recap chart'!$M$5:$M$9</c:f>
              <c:strCache>
                <c:ptCount val="5"/>
                <c:pt idx="0">
                  <c:v>Contract Labor</c:v>
                </c:pt>
                <c:pt idx="1">
                  <c:v>Supplies</c:v>
                </c:pt>
                <c:pt idx="2">
                  <c:v>Forms &amp; Printing</c:v>
                </c:pt>
                <c:pt idx="3">
                  <c:v>Training/Seminars</c:v>
                </c:pt>
                <c:pt idx="4">
                  <c:v>Litigation</c:v>
                </c:pt>
              </c:strCache>
            </c:strRef>
          </c:cat>
          <c:val>
            <c:numRef>
              <c:f>'Recap chart'!$O$5:$O$9</c:f>
              <c:numCache>
                <c:formatCode>0.00%</c:formatCode>
                <c:ptCount val="5"/>
                <c:pt idx="0">
                  <c:v>0.87357910906298009</c:v>
                </c:pt>
                <c:pt idx="1">
                  <c:v>5.427547363031234E-3</c:v>
                </c:pt>
                <c:pt idx="2">
                  <c:v>8.585253456221198E-2</c:v>
                </c:pt>
                <c:pt idx="3">
                  <c:v>1.9662058371735791E-2</c:v>
                </c:pt>
                <c:pt idx="4">
                  <c:v>1.5360983102918587E-2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C3-4F48-9777-07F703266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EDEDED"/>
        </a:solidFill>
      </c:spPr>
    </c:plotArea>
    <c:legend>
      <c:legendPos val="r"/>
      <c:overlay val="0"/>
    </c:legend>
    <c:plotVisOnly val="1"/>
    <c:dispBlanksAs val="zero"/>
    <c:showDLblsOverMax val="1"/>
  </c:chart>
  <c:spPr>
    <a:solidFill>
      <a:srgbClr val="EDEDED"/>
    </a:solidFill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142875</xdr:colOff>
      <xdr:row>44</xdr:row>
      <xdr:rowOff>161925</xdr:rowOff>
    </xdr:to>
    <xdr:sp macro="" textlink="">
      <xdr:nvSpPr>
        <xdr:cNvPr id="2106" name="Text Box 58" hidden="1">
          <a:extLst>
            <a:ext uri="{FF2B5EF4-FFF2-40B4-BE49-F238E27FC236}">
              <a16:creationId xmlns:a16="http://schemas.microsoft.com/office/drawing/2014/main" id="{00000000-0008-0000-0300-00003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44</xdr:row>
      <xdr:rowOff>161925</xdr:rowOff>
    </xdr:to>
    <xdr:sp macro="" textlink="">
      <xdr:nvSpPr>
        <xdr:cNvPr id="2" name="AutoShape 5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34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44</xdr:row>
      <xdr:rowOff>161925</xdr:rowOff>
    </xdr:to>
    <xdr:sp macro="" textlink="">
      <xdr:nvSpPr>
        <xdr:cNvPr id="3" name="AutoShape 5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4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4" name="AutoShape 5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54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5" name="AutoShape 5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54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6" name="AutoShape 5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54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7" name="AutoShape 58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544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8" name="AutoShape 5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36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9" name="AutoShape 5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36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10" name="AutoShape 5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36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11" name="AutoShape 58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36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12" name="AutoShape 5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36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13" name="AutoShape 5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82150" cy="9363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14" name="AutoShape 58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15" name="AutoShape 5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16" name="AutoShape 5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47</xdr:row>
      <xdr:rowOff>161925</xdr:rowOff>
    </xdr:to>
    <xdr:sp macro="" textlink="">
      <xdr:nvSpPr>
        <xdr:cNvPr id="17" name="AutoShape 58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18" name="AutoShape 5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19" name="AutoShape 5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0" name="AutoShape 5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1" name="AutoShape 5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2" name="AutoShape 58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3" name="AutoShape 58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4" name="AutoShape 58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5" name="AutoShape 5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6" name="AutoShape 5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7" name="AutoShape 58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8" name="AutoShape 5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9" name="AutoShape 5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30" name="AutoShape 58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31" name="AutoShape 5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080" name="AutoShape 58">
          <a:extLst>
            <a:ext uri="{FF2B5EF4-FFF2-40B4-BE49-F238E27FC236}">
              <a16:creationId xmlns:a16="http://schemas.microsoft.com/office/drawing/2014/main" id="{00000000-0008-0000-0300-00002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081" name="AutoShape 58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082" name="AutoShape 58">
          <a:extLst>
            <a:ext uri="{FF2B5EF4-FFF2-40B4-BE49-F238E27FC236}">
              <a16:creationId xmlns:a16="http://schemas.microsoft.com/office/drawing/2014/main" id="{00000000-0008-0000-0300-00002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083" name="AutoShape 58">
          <a:extLst>
            <a:ext uri="{FF2B5EF4-FFF2-40B4-BE49-F238E27FC236}">
              <a16:creationId xmlns:a16="http://schemas.microsoft.com/office/drawing/2014/main" id="{00000000-0008-0000-0300-00002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084" name="AutoShape 58">
          <a:extLst>
            <a:ext uri="{FF2B5EF4-FFF2-40B4-BE49-F238E27FC236}">
              <a16:creationId xmlns:a16="http://schemas.microsoft.com/office/drawing/2014/main" id="{00000000-0008-0000-0300-00002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085" name="AutoShape 58">
          <a:extLst>
            <a:ext uri="{FF2B5EF4-FFF2-40B4-BE49-F238E27FC236}">
              <a16:creationId xmlns:a16="http://schemas.microsoft.com/office/drawing/2014/main" id="{00000000-0008-0000-0300-00002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086" name="AutoShape 58">
          <a:extLst>
            <a:ext uri="{FF2B5EF4-FFF2-40B4-BE49-F238E27FC236}">
              <a16:creationId xmlns:a16="http://schemas.microsoft.com/office/drawing/2014/main" id="{00000000-0008-0000-0300-00002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142875</xdr:colOff>
      <xdr:row>46</xdr:row>
      <xdr:rowOff>161925</xdr:rowOff>
    </xdr:to>
    <xdr:sp macro="" textlink="">
      <xdr:nvSpPr>
        <xdr:cNvPr id="2087" name="AutoShape 58">
          <a:extLst>
            <a:ext uri="{FF2B5EF4-FFF2-40B4-BE49-F238E27FC236}">
              <a16:creationId xmlns:a16="http://schemas.microsoft.com/office/drawing/2014/main" id="{00000000-0008-0000-0300-00002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439275" cy="919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1527" name="FILTER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C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1528" name="HEADER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C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22547" name="FILTER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D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22548" name="HEADER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D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3571" name="FILTER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E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3572" name="HEADER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E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4595" name="FILTER" hidden="1">
              <a:extLst>
                <a:ext uri="{63B3BB69-23CF-44E3-9099-C40C66FF867C}">
                  <a14:compatExt spid="_x0000_s24595"/>
                </a:ext>
                <a:ext uri="{FF2B5EF4-FFF2-40B4-BE49-F238E27FC236}">
                  <a16:creationId xmlns:a16="http://schemas.microsoft.com/office/drawing/2014/main" id="{00000000-0008-0000-0F00-00001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4596" name="HEADER" hidden="1">
              <a:extLst>
                <a:ext uri="{63B3BB69-23CF-44E3-9099-C40C66FF867C}">
                  <a14:compatExt spid="_x0000_s24596"/>
                </a:ext>
                <a:ext uri="{FF2B5EF4-FFF2-40B4-BE49-F238E27FC236}">
                  <a16:creationId xmlns:a16="http://schemas.microsoft.com/office/drawing/2014/main" id="{00000000-0008-0000-0F00-00001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25615" name="FILTER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10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25616" name="HEADER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10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6643" name="FILTER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11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6644" name="HEADER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11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7667" name="FILTER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12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7668" name="HEADER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12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9715" name="FILTER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14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9716" name="HEADER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14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32785" name="FILTER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15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32786" name="HEADER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15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33813" name="FILTER" hidden="1">
              <a:extLst>
                <a:ext uri="{63B3BB69-23CF-44E3-9099-C40C66FF867C}">
                  <a14:compatExt spid="_x0000_s33813"/>
                </a:ext>
                <a:ext uri="{FF2B5EF4-FFF2-40B4-BE49-F238E27FC236}">
                  <a16:creationId xmlns:a16="http://schemas.microsoft.com/office/drawing/2014/main" id="{00000000-0008-0000-1600-00001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33814" name="HEADER" hidden="1">
              <a:extLst>
                <a:ext uri="{63B3BB69-23CF-44E3-9099-C40C66FF867C}">
                  <a14:compatExt spid="_x0000_s33814"/>
                </a:ext>
                <a:ext uri="{FF2B5EF4-FFF2-40B4-BE49-F238E27FC236}">
                  <a16:creationId xmlns:a16="http://schemas.microsoft.com/office/drawing/2014/main" id="{00000000-0008-0000-1600-00001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32" name="Text Box 8" hidden="1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44</xdr:row>
      <xdr:rowOff>142875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44</xdr:row>
      <xdr:rowOff>142875</xdr:rowOff>
    </xdr:to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44</xdr:row>
      <xdr:rowOff>142875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44</xdr:row>
      <xdr:rowOff>142875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44</xdr:row>
      <xdr:rowOff>142875</xdr:rowOff>
    </xdr:to>
    <xdr:sp macro="" textlink="">
      <xdr:nvSpPr>
        <xdr:cNvPr id="20" name="AutoShape 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44</xdr:row>
      <xdr:rowOff>142875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22" name="AutoShape 8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23" name="AutoShape 8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24" name="AutoShape 8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25" name="AutoShape 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26" name="AutoShape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27" name="AutoShape 8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28" name="AutoShape 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29" name="AutoShape 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30" name="AutoShape 8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31" name="AutoShape 8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24" name="AutoShape 8">
          <a:extLst>
            <a:ext uri="{FF2B5EF4-FFF2-40B4-BE49-F238E27FC236}">
              <a16:creationId xmlns:a16="http://schemas.microsoft.com/office/drawing/2014/main" id="{00000000-0008-0000-04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25" name="AutoShape 8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26" name="AutoShape 8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27" name="AutoShape 8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28" name="AutoShape 8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29" name="AutoShape 8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30" name="AutoShape 8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295275</xdr:colOff>
      <xdr:row>43</xdr:row>
      <xdr:rowOff>142875</xdr:rowOff>
    </xdr:to>
    <xdr:sp macro="" textlink="">
      <xdr:nvSpPr>
        <xdr:cNvPr id="1031" name="AutoShape 8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63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38100</xdr:rowOff>
        </xdr:to>
        <xdr:sp macro="" textlink="">
          <xdr:nvSpPr>
            <xdr:cNvPr id="49153" name="FILTER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7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38100</xdr:rowOff>
        </xdr:to>
        <xdr:sp macro="" textlink="">
          <xdr:nvSpPr>
            <xdr:cNvPr id="49154" name="HEADER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17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35859" name="FILTER" hidden="1">
              <a:extLst>
                <a:ext uri="{63B3BB69-23CF-44E3-9099-C40C66FF867C}">
                  <a14:compatExt spid="_x0000_s35859"/>
                </a:ext>
                <a:ext uri="{FF2B5EF4-FFF2-40B4-BE49-F238E27FC236}">
                  <a16:creationId xmlns:a16="http://schemas.microsoft.com/office/drawing/2014/main" id="{00000000-0008-0000-1800-00001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35860" name="HEADER" hidden="1">
              <a:extLst>
                <a:ext uri="{63B3BB69-23CF-44E3-9099-C40C66FF867C}">
                  <a14:compatExt spid="_x0000_s35860"/>
                </a:ext>
                <a:ext uri="{FF2B5EF4-FFF2-40B4-BE49-F238E27FC236}">
                  <a16:creationId xmlns:a16="http://schemas.microsoft.com/office/drawing/2014/main" id="{00000000-0008-0000-1800-00001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36873" name="FILTER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9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36874" name="HEADER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9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41993" name="FILTER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1A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41994" name="HEADER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1A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38100</xdr:rowOff>
        </xdr:to>
        <xdr:sp macro="" textlink="">
          <xdr:nvSpPr>
            <xdr:cNvPr id="38913" name="FILTER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1B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38100</xdr:rowOff>
        </xdr:to>
        <xdr:sp macro="" textlink="">
          <xdr:nvSpPr>
            <xdr:cNvPr id="38914" name="HEADER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1B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39941" name="FILTER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1C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39942" name="HEADER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1C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40971" name="FILTER" hidden="1">
              <a:extLst>
                <a:ext uri="{63B3BB69-23CF-44E3-9099-C40C66FF867C}">
                  <a14:compatExt spid="_x0000_s40971"/>
                </a:ext>
                <a:ext uri="{FF2B5EF4-FFF2-40B4-BE49-F238E27FC236}">
                  <a16:creationId xmlns:a16="http://schemas.microsoft.com/office/drawing/2014/main" id="{00000000-0008-0000-1D00-00000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40972" name="HEADER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1D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46089" name="FILTER" hidden="1">
              <a:extLst>
                <a:ext uri="{63B3BB69-23CF-44E3-9099-C40C66FF867C}">
                  <a14:compatExt spid="_x0000_s46089"/>
                </a:ext>
                <a:ext uri="{FF2B5EF4-FFF2-40B4-BE49-F238E27FC236}">
                  <a16:creationId xmlns:a16="http://schemas.microsoft.com/office/drawing/2014/main" id="{00000000-0008-0000-1E00-00000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46090" name="HEADER" hidden="1">
              <a:extLst>
                <a:ext uri="{63B3BB69-23CF-44E3-9099-C40C66FF867C}">
                  <a14:compatExt spid="_x0000_s46090"/>
                </a:ext>
                <a:ext uri="{FF2B5EF4-FFF2-40B4-BE49-F238E27FC236}">
                  <a16:creationId xmlns:a16="http://schemas.microsoft.com/office/drawing/2014/main" id="{00000000-0008-0000-1E00-00000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409575</xdr:colOff>
      <xdr:row>35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133350</xdr:colOff>
      <xdr:row>10</xdr:row>
      <xdr:rowOff>152400</xdr:rowOff>
    </xdr:from>
    <xdr:to>
      <xdr:col>18</xdr:col>
      <xdr:colOff>95250</xdr:colOff>
      <xdr:row>35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13331" name="FILTER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6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13332" name="HEADER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6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391886</xdr:colOff>
          <xdr:row>1</xdr:row>
          <xdr:rowOff>27214</xdr:rowOff>
        </xdr:to>
        <xdr:sp macro="" textlink="">
          <xdr:nvSpPr>
            <xdr:cNvPr id="14357" name="FILTER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7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391886</xdr:colOff>
          <xdr:row>1</xdr:row>
          <xdr:rowOff>27214</xdr:rowOff>
        </xdr:to>
        <xdr:sp macro="" textlink="">
          <xdr:nvSpPr>
            <xdr:cNvPr id="14358" name="HEADER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7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16401" name="FILTER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8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560614</xdr:colOff>
          <xdr:row>1</xdr:row>
          <xdr:rowOff>27214</xdr:rowOff>
        </xdr:to>
        <xdr:sp macro="" textlink="">
          <xdr:nvSpPr>
            <xdr:cNvPr id="16402" name="HEADER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8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484414</xdr:colOff>
          <xdr:row>1</xdr:row>
          <xdr:rowOff>27214</xdr:rowOff>
        </xdr:to>
        <xdr:sp macro="" textlink="">
          <xdr:nvSpPr>
            <xdr:cNvPr id="17423" name="FILTER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9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484414</xdr:colOff>
          <xdr:row>1</xdr:row>
          <xdr:rowOff>27214</xdr:rowOff>
        </xdr:to>
        <xdr:sp macro="" textlink="">
          <xdr:nvSpPr>
            <xdr:cNvPr id="17424" name="HEADER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9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19473" name="FILTER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A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19474" name="HEADER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A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0495" name="FILTER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B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27214</xdr:rowOff>
        </xdr:to>
        <xdr:sp macro="" textlink="">
          <xdr:nvSpPr>
            <xdr:cNvPr id="20496" name="HEADER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B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10.xml"/><Relationship Id="rId5" Type="http://schemas.openxmlformats.org/officeDocument/2006/relationships/image" Target="../media/image2.emf"/><Relationship Id="rId4" Type="http://schemas.openxmlformats.org/officeDocument/2006/relationships/control" Target="../activeX/activeX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1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12.xml"/><Relationship Id="rId5" Type="http://schemas.openxmlformats.org/officeDocument/2006/relationships/image" Target="../media/image2.emf"/><Relationship Id="rId4" Type="http://schemas.openxmlformats.org/officeDocument/2006/relationships/control" Target="../activeX/activeX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2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14.xml"/><Relationship Id="rId5" Type="http://schemas.openxmlformats.org/officeDocument/2006/relationships/image" Target="../media/image1.emf"/><Relationship Id="rId4" Type="http://schemas.openxmlformats.org/officeDocument/2006/relationships/control" Target="../activeX/activeX1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2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16.xml"/><Relationship Id="rId5" Type="http://schemas.openxmlformats.org/officeDocument/2006/relationships/image" Target="../media/image1.emf"/><Relationship Id="rId4" Type="http://schemas.openxmlformats.org/officeDocument/2006/relationships/control" Target="../activeX/activeX1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image" Target="../media/image2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18.xml"/><Relationship Id="rId5" Type="http://schemas.openxmlformats.org/officeDocument/2006/relationships/image" Target="../media/image1.emf"/><Relationship Id="rId4" Type="http://schemas.openxmlformats.org/officeDocument/2006/relationships/control" Target="../activeX/activeX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image" Target="../media/image2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20.xml"/><Relationship Id="rId5" Type="http://schemas.openxmlformats.org/officeDocument/2006/relationships/image" Target="../media/image1.emf"/><Relationship Id="rId4" Type="http://schemas.openxmlformats.org/officeDocument/2006/relationships/control" Target="../activeX/activeX1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image" Target="../media/image2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22.xml"/><Relationship Id="rId5" Type="http://schemas.openxmlformats.org/officeDocument/2006/relationships/image" Target="../media/image1.emf"/><Relationship Id="rId4" Type="http://schemas.openxmlformats.org/officeDocument/2006/relationships/control" Target="../activeX/activeX2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image" Target="../media/image2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24.xml"/><Relationship Id="rId5" Type="http://schemas.openxmlformats.org/officeDocument/2006/relationships/image" Target="../media/image1.emf"/><Relationship Id="rId4" Type="http://schemas.openxmlformats.org/officeDocument/2006/relationships/control" Target="../activeX/activeX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7" Type="http://schemas.openxmlformats.org/officeDocument/2006/relationships/image" Target="../media/image2.emf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26.xml"/><Relationship Id="rId5" Type="http://schemas.openxmlformats.org/officeDocument/2006/relationships/image" Target="../media/image1.emf"/><Relationship Id="rId4" Type="http://schemas.openxmlformats.org/officeDocument/2006/relationships/control" Target="../activeX/activeX2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7" Type="http://schemas.openxmlformats.org/officeDocument/2006/relationships/image" Target="../media/image2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28.xml"/><Relationship Id="rId5" Type="http://schemas.openxmlformats.org/officeDocument/2006/relationships/image" Target="../media/image1.emf"/><Relationship Id="rId4" Type="http://schemas.openxmlformats.org/officeDocument/2006/relationships/control" Target="../activeX/activeX27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7" Type="http://schemas.openxmlformats.org/officeDocument/2006/relationships/image" Target="../media/image2.emf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6" Type="http://schemas.openxmlformats.org/officeDocument/2006/relationships/control" Target="../activeX/activeX30.xml"/><Relationship Id="rId5" Type="http://schemas.openxmlformats.org/officeDocument/2006/relationships/image" Target="../media/image1.emf"/><Relationship Id="rId4" Type="http://schemas.openxmlformats.org/officeDocument/2006/relationships/control" Target="../activeX/activeX2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7" Type="http://schemas.openxmlformats.org/officeDocument/2006/relationships/image" Target="../media/image2.emf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6" Type="http://schemas.openxmlformats.org/officeDocument/2006/relationships/control" Target="../activeX/activeX32.xml"/><Relationship Id="rId5" Type="http://schemas.openxmlformats.org/officeDocument/2006/relationships/image" Target="../media/image1.emf"/><Relationship Id="rId4" Type="http://schemas.openxmlformats.org/officeDocument/2006/relationships/control" Target="../activeX/activeX3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7" Type="http://schemas.openxmlformats.org/officeDocument/2006/relationships/image" Target="../media/image3.emf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6" Type="http://schemas.openxmlformats.org/officeDocument/2006/relationships/control" Target="../activeX/activeX34.xml"/><Relationship Id="rId5" Type="http://schemas.openxmlformats.org/officeDocument/2006/relationships/image" Target="../media/image1.emf"/><Relationship Id="rId4" Type="http://schemas.openxmlformats.org/officeDocument/2006/relationships/control" Target="../activeX/activeX3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7" Type="http://schemas.openxmlformats.org/officeDocument/2006/relationships/image" Target="../media/image2.emf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6" Type="http://schemas.openxmlformats.org/officeDocument/2006/relationships/control" Target="../activeX/activeX36.xml"/><Relationship Id="rId5" Type="http://schemas.openxmlformats.org/officeDocument/2006/relationships/image" Target="../media/image1.emf"/><Relationship Id="rId4" Type="http://schemas.openxmlformats.org/officeDocument/2006/relationships/control" Target="../activeX/activeX35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7" Type="http://schemas.openxmlformats.org/officeDocument/2006/relationships/image" Target="../media/image1.emf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Relationship Id="rId6" Type="http://schemas.openxmlformats.org/officeDocument/2006/relationships/control" Target="../activeX/activeX38.xml"/><Relationship Id="rId5" Type="http://schemas.openxmlformats.org/officeDocument/2006/relationships/image" Target="../media/image3.emf"/><Relationship Id="rId4" Type="http://schemas.openxmlformats.org/officeDocument/2006/relationships/control" Target="../activeX/activeX3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7" Type="http://schemas.openxmlformats.org/officeDocument/2006/relationships/image" Target="../media/image3.emf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6" Type="http://schemas.openxmlformats.org/officeDocument/2006/relationships/control" Target="../activeX/activeX40.xml"/><Relationship Id="rId5" Type="http://schemas.openxmlformats.org/officeDocument/2006/relationships/image" Target="../media/image1.emf"/><Relationship Id="rId4" Type="http://schemas.openxmlformats.org/officeDocument/2006/relationships/control" Target="../activeX/activeX39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7" Type="http://schemas.openxmlformats.org/officeDocument/2006/relationships/image" Target="../media/image3.emf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Relationship Id="rId6" Type="http://schemas.openxmlformats.org/officeDocument/2006/relationships/control" Target="../activeX/activeX42.xml"/><Relationship Id="rId5" Type="http://schemas.openxmlformats.org/officeDocument/2006/relationships/image" Target="../media/image1.emf"/><Relationship Id="rId4" Type="http://schemas.openxmlformats.org/officeDocument/2006/relationships/control" Target="../activeX/activeX41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7" Type="http://schemas.openxmlformats.org/officeDocument/2006/relationships/image" Target="../media/image3.emf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44.xml"/><Relationship Id="rId5" Type="http://schemas.openxmlformats.org/officeDocument/2006/relationships/image" Target="../media/image1.emf"/><Relationship Id="rId4" Type="http://schemas.openxmlformats.org/officeDocument/2006/relationships/control" Target="../activeX/activeX4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7" Type="http://schemas.openxmlformats.org/officeDocument/2006/relationships/image" Target="../media/image3.emf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Relationship Id="rId6" Type="http://schemas.openxmlformats.org/officeDocument/2006/relationships/control" Target="../activeX/activeX46.xml"/><Relationship Id="rId5" Type="http://schemas.openxmlformats.org/officeDocument/2006/relationships/image" Target="../media/image1.emf"/><Relationship Id="rId4" Type="http://schemas.openxmlformats.org/officeDocument/2006/relationships/control" Target="../activeX/activeX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7" Type="http://schemas.openxmlformats.org/officeDocument/2006/relationships/image" Target="../media/image1.emf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Relationship Id="rId6" Type="http://schemas.openxmlformats.org/officeDocument/2006/relationships/control" Target="../activeX/activeX48.xml"/><Relationship Id="rId5" Type="http://schemas.openxmlformats.org/officeDocument/2006/relationships/image" Target="../media/image3.emf"/><Relationship Id="rId4" Type="http://schemas.openxmlformats.org/officeDocument/2006/relationships/control" Target="../activeX/activeX4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4.xml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1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6.xml"/><Relationship Id="rId5" Type="http://schemas.openxmlformats.org/officeDocument/2006/relationships/image" Target="../media/image2.emf"/><Relationship Id="rId4" Type="http://schemas.openxmlformats.org/officeDocument/2006/relationships/control" Target="../activeX/activeX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8.xml"/><Relationship Id="rId5" Type="http://schemas.openxmlformats.org/officeDocument/2006/relationships/image" Target="../media/image2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tabSelected="1" zoomScale="110" zoomScaleNormal="110" zoomScalePageLayoutView="110" workbookViewId="0">
      <selection activeCell="J5" sqref="J5"/>
    </sheetView>
  </sheetViews>
  <sheetFormatPr defaultColWidth="14.3828125" defaultRowHeight="15" customHeight="1" x14ac:dyDescent="0.4"/>
  <cols>
    <col min="1" max="1" width="48" bestFit="1" customWidth="1"/>
    <col min="2" max="2" width="12.15234375" bestFit="1" customWidth="1"/>
    <col min="3" max="3" width="11.53515625" bestFit="1" customWidth="1"/>
    <col min="4" max="4" width="12.15234375" bestFit="1" customWidth="1"/>
    <col min="5" max="5" width="11.53515625" bestFit="1" customWidth="1"/>
    <col min="6" max="6" width="12.15234375" bestFit="1" customWidth="1"/>
    <col min="7" max="7" width="11.53515625" bestFit="1" customWidth="1"/>
    <col min="8" max="8" width="12.15234375" bestFit="1" customWidth="1"/>
    <col min="9" max="9" width="12.53515625" customWidth="1"/>
    <col min="10" max="10" width="12.3828125" customWidth="1"/>
    <col min="11" max="11" width="9.69140625" bestFit="1" customWidth="1"/>
    <col min="12" max="12" width="7" customWidth="1"/>
    <col min="13" max="13" width="12.53515625" bestFit="1" customWidth="1"/>
    <col min="14" max="14" width="15" bestFit="1" customWidth="1"/>
    <col min="15" max="24" width="13.3046875" customWidth="1"/>
    <col min="25" max="27" width="15.15234375" customWidth="1"/>
  </cols>
  <sheetData>
    <row r="1" spans="1:24" ht="45" customHeight="1" x14ac:dyDescent="0.4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4" t="s">
        <v>9</v>
      </c>
      <c r="J1" s="4" t="s">
        <v>572</v>
      </c>
      <c r="K1" s="5" t="s">
        <v>10</v>
      </c>
      <c r="L1" s="6"/>
      <c r="M1" s="6"/>
      <c r="N1" s="3" t="s">
        <v>11</v>
      </c>
    </row>
    <row r="2" spans="1:24" ht="14.6" x14ac:dyDescent="0.4">
      <c r="A2" s="745" t="s">
        <v>12</v>
      </c>
      <c r="B2" s="768">
        <v>3662500</v>
      </c>
      <c r="C2" s="768">
        <v>3563506</v>
      </c>
      <c r="D2" s="771">
        <v>3884500</v>
      </c>
      <c r="E2" s="771">
        <v>3687279</v>
      </c>
      <c r="F2" s="771">
        <v>3942800</v>
      </c>
      <c r="G2" s="771">
        <v>3852722</v>
      </c>
      <c r="H2" s="771">
        <v>4225900</v>
      </c>
      <c r="I2" s="767">
        <v>4348900</v>
      </c>
      <c r="J2" s="768">
        <f>SUM(ROUNDUP('3% Personnel'!E9,-2))</f>
        <v>4350500</v>
      </c>
      <c r="K2" s="772">
        <f>(J2-I2)/I2</f>
        <v>3.679091264457679E-4</v>
      </c>
      <c r="L2" s="6"/>
      <c r="M2" s="483">
        <v>2018</v>
      </c>
      <c r="N2" s="3">
        <v>2019</v>
      </c>
    </row>
    <row r="3" spans="1:24" ht="14.6" x14ac:dyDescent="0.4">
      <c r="A3" s="489" t="s">
        <v>16</v>
      </c>
      <c r="B3" s="764">
        <v>215200</v>
      </c>
      <c r="C3" s="764">
        <v>192214</v>
      </c>
      <c r="D3" s="769">
        <v>229600</v>
      </c>
      <c r="E3" s="769">
        <v>202511</v>
      </c>
      <c r="F3" s="769">
        <v>229700</v>
      </c>
      <c r="G3" s="769">
        <v>215369</v>
      </c>
      <c r="H3" s="764">
        <v>257800</v>
      </c>
      <c r="I3" s="805">
        <v>255600</v>
      </c>
      <c r="J3" s="764">
        <f>SUM(ROUNDUP('3% Personnel'!E32,-2))</f>
        <v>253000</v>
      </c>
      <c r="K3" s="353">
        <f t="shared" ref="K3:K37" si="0">(J3-I3)/I3</f>
        <v>-1.0172143974960876E-2</v>
      </c>
      <c r="L3" s="6"/>
      <c r="M3" s="894" t="s">
        <v>18</v>
      </c>
      <c r="N3" s="895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6" x14ac:dyDescent="0.4">
      <c r="A4" s="745" t="s">
        <v>17</v>
      </c>
      <c r="B4" s="768">
        <v>487100</v>
      </c>
      <c r="C4" s="768">
        <v>500584</v>
      </c>
      <c r="D4" s="771">
        <v>538800</v>
      </c>
      <c r="E4" s="771">
        <v>448079</v>
      </c>
      <c r="F4" s="771">
        <v>551200</v>
      </c>
      <c r="G4" s="771">
        <v>523428</v>
      </c>
      <c r="H4" s="771">
        <v>568800</v>
      </c>
      <c r="I4" s="767">
        <v>603100</v>
      </c>
      <c r="J4" s="768">
        <f>SUM(ROUNDUP('3% Personnel'!E41,-2))</f>
        <v>626700</v>
      </c>
      <c r="K4" s="772">
        <f>(J4-I4)/I4</f>
        <v>3.9131155695572871E-2</v>
      </c>
      <c r="L4" s="6"/>
      <c r="M4" s="23">
        <f>SUM(I2:I7)</f>
        <v>6036500</v>
      </c>
      <c r="N4" s="20">
        <f>SUM(J2:J7)</f>
        <v>6024200</v>
      </c>
      <c r="O4" s="759">
        <f>N4/N34</f>
        <v>0.68802393841796294</v>
      </c>
    </row>
    <row r="5" spans="1:24" ht="14.6" x14ac:dyDescent="0.4">
      <c r="A5" s="17" t="s">
        <v>19</v>
      </c>
      <c r="B5" s="18">
        <v>611400</v>
      </c>
      <c r="C5" s="18">
        <v>580823</v>
      </c>
      <c r="D5" s="20">
        <v>649200</v>
      </c>
      <c r="E5" s="20">
        <v>611274</v>
      </c>
      <c r="F5" s="20">
        <v>674900</v>
      </c>
      <c r="G5" s="20">
        <v>715849</v>
      </c>
      <c r="H5" s="20">
        <v>751300</v>
      </c>
      <c r="I5" s="19">
        <v>752100</v>
      </c>
      <c r="J5" s="18">
        <f>SUM(ROUNDUP('3% Personnel'!E55+'3% Personnel'!E56,-2))</f>
        <v>717700</v>
      </c>
      <c r="K5" s="353">
        <f t="shared" si="0"/>
        <v>-4.5738598590612953E-2</v>
      </c>
      <c r="L5" s="6"/>
      <c r="M5" s="6"/>
      <c r="N5" s="3"/>
      <c r="O5" s="760"/>
      <c r="P5" s="3"/>
      <c r="Q5" s="3"/>
      <c r="R5" s="3"/>
      <c r="S5" s="3"/>
      <c r="T5" s="3"/>
      <c r="U5" s="3"/>
      <c r="V5" s="3"/>
      <c r="W5" s="3"/>
      <c r="X5" s="3"/>
    </row>
    <row r="6" spans="1:24" ht="14.6" x14ac:dyDescent="0.4">
      <c r="A6" s="7" t="s">
        <v>20</v>
      </c>
      <c r="B6" s="8">
        <v>7600</v>
      </c>
      <c r="C6" s="8">
        <v>7497</v>
      </c>
      <c r="D6" s="10">
        <v>8000</v>
      </c>
      <c r="E6" s="10">
        <v>7991</v>
      </c>
      <c r="F6" s="10">
        <v>8800</v>
      </c>
      <c r="G6" s="10">
        <v>8159</v>
      </c>
      <c r="H6" s="10">
        <v>8900</v>
      </c>
      <c r="I6" s="12">
        <v>8900</v>
      </c>
      <c r="J6" s="8">
        <f>SUM(ROUNDUP('3% Personnel'!E61,-2))</f>
        <v>8900</v>
      </c>
      <c r="K6" s="16">
        <f t="shared" si="0"/>
        <v>0</v>
      </c>
      <c r="L6" s="6"/>
      <c r="M6" s="6"/>
      <c r="N6" s="3"/>
      <c r="O6" s="761"/>
    </row>
    <row r="7" spans="1:24" s="491" customFormat="1" ht="14.6" x14ac:dyDescent="0.4">
      <c r="A7" s="489" t="s">
        <v>21</v>
      </c>
      <c r="B7" s="764">
        <v>57800</v>
      </c>
      <c r="C7" s="764">
        <v>57858</v>
      </c>
      <c r="D7" s="769">
        <v>61300</v>
      </c>
      <c r="E7" s="769">
        <v>59257</v>
      </c>
      <c r="F7" s="769">
        <v>62900</v>
      </c>
      <c r="G7" s="769">
        <v>54592</v>
      </c>
      <c r="H7" s="769">
        <v>67400</v>
      </c>
      <c r="I7" s="763">
        <v>67900</v>
      </c>
      <c r="J7" s="764">
        <f>SUM(ROUNDUP('3% Personnel'!E75,-2))</f>
        <v>67400</v>
      </c>
      <c r="K7" s="353">
        <f t="shared" si="0"/>
        <v>-7.3637702503681884E-3</v>
      </c>
      <c r="L7" s="704"/>
      <c r="M7" s="704"/>
      <c r="N7" s="433"/>
      <c r="O7" s="773"/>
      <c r="P7" s="433"/>
      <c r="Q7" s="433"/>
      <c r="R7" s="433"/>
      <c r="S7" s="433"/>
      <c r="T7" s="433"/>
      <c r="U7" s="433"/>
      <c r="V7" s="433"/>
      <c r="W7" s="433"/>
      <c r="X7" s="433"/>
    </row>
    <row r="8" spans="1:24" ht="14.6" x14ac:dyDescent="0.4">
      <c r="A8" s="7" t="s">
        <v>22</v>
      </c>
      <c r="B8" s="8">
        <v>14800</v>
      </c>
      <c r="C8" s="8">
        <v>10895</v>
      </c>
      <c r="D8" s="10">
        <v>12400</v>
      </c>
      <c r="E8" s="10">
        <v>11063</v>
      </c>
      <c r="F8" s="10">
        <v>12600</v>
      </c>
      <c r="G8" s="10">
        <v>10891</v>
      </c>
      <c r="H8" s="10">
        <v>13100</v>
      </c>
      <c r="I8" s="12">
        <v>15100</v>
      </c>
      <c r="J8" s="8">
        <f>SUM(ROUNDUP('Budget-Services'!H18,-2))</f>
        <v>14100</v>
      </c>
      <c r="K8" s="16">
        <f t="shared" si="0"/>
        <v>-6.6225165562913912E-2</v>
      </c>
      <c r="L8" s="6"/>
      <c r="M8" s="6"/>
      <c r="N8" s="3"/>
      <c r="O8" s="761"/>
    </row>
    <row r="9" spans="1:24" ht="14.6" x14ac:dyDescent="0.4">
      <c r="A9" s="17" t="s">
        <v>23</v>
      </c>
      <c r="B9" s="18">
        <v>87700</v>
      </c>
      <c r="C9" s="18">
        <v>88800</v>
      </c>
      <c r="D9" s="20">
        <v>95600</v>
      </c>
      <c r="E9" s="20">
        <v>95176</v>
      </c>
      <c r="F9" s="20">
        <v>93900</v>
      </c>
      <c r="G9" s="20">
        <v>93900</v>
      </c>
      <c r="H9" s="20">
        <v>109400</v>
      </c>
      <c r="I9" s="19">
        <v>116900</v>
      </c>
      <c r="J9" s="18">
        <f>SUM(ROUNDUP('Budget-Services'!H39,-2))</f>
        <v>129900</v>
      </c>
      <c r="K9" s="353">
        <f t="shared" si="0"/>
        <v>0.11120615911035073</v>
      </c>
      <c r="L9" s="6"/>
      <c r="M9" s="894" t="s">
        <v>27</v>
      </c>
      <c r="N9" s="895"/>
      <c r="O9" s="760"/>
    </row>
    <row r="10" spans="1:24" ht="14.6" x14ac:dyDescent="0.4">
      <c r="A10" s="7" t="s">
        <v>25</v>
      </c>
      <c r="B10" s="8">
        <v>50700</v>
      </c>
      <c r="C10" s="8">
        <v>52228</v>
      </c>
      <c r="D10" s="10">
        <v>51400</v>
      </c>
      <c r="E10" s="10">
        <v>46462</v>
      </c>
      <c r="F10" s="10">
        <v>44200</v>
      </c>
      <c r="G10" s="10">
        <v>44200</v>
      </c>
      <c r="H10" s="10">
        <v>48400</v>
      </c>
      <c r="I10" s="12">
        <v>53400</v>
      </c>
      <c r="J10" s="8">
        <f>SUM(ROUNDUP('Budget-Services'!H62,-2))</f>
        <v>58800</v>
      </c>
      <c r="K10" s="16">
        <f t="shared" si="0"/>
        <v>0.10112359550561797</v>
      </c>
      <c r="L10" s="6"/>
      <c r="M10" s="551">
        <f>SUM(I8:I13)</f>
        <v>282700</v>
      </c>
      <c r="N10" s="20">
        <f>SUM(J8:J13)</f>
        <v>303200</v>
      </c>
      <c r="O10" s="762">
        <f>N10/N34</f>
        <v>3.4628474839534934E-2</v>
      </c>
    </row>
    <row r="11" spans="1:24" ht="14.6" x14ac:dyDescent="0.4">
      <c r="A11" s="17" t="s">
        <v>26</v>
      </c>
      <c r="B11" s="18">
        <v>5600</v>
      </c>
      <c r="C11" s="18">
        <v>5364</v>
      </c>
      <c r="D11" s="20">
        <v>4800</v>
      </c>
      <c r="E11" s="20">
        <v>4800</v>
      </c>
      <c r="F11" s="20">
        <v>4800</v>
      </c>
      <c r="G11" s="20">
        <v>4800</v>
      </c>
      <c r="H11" s="20">
        <v>4800</v>
      </c>
      <c r="I11" s="19">
        <v>6000</v>
      </c>
      <c r="J11" s="18">
        <f>SUM(ROUNDUP('Budget-Services'!H66,-2))</f>
        <v>7200</v>
      </c>
      <c r="K11" s="353">
        <f t="shared" si="0"/>
        <v>0.2</v>
      </c>
      <c r="L11" s="6"/>
      <c r="M11" s="6"/>
      <c r="N11" s="3"/>
      <c r="O11" s="761"/>
    </row>
    <row r="12" spans="1:24" s="491" customFormat="1" ht="14.6" x14ac:dyDescent="0.4">
      <c r="A12" s="745" t="s">
        <v>28</v>
      </c>
      <c r="B12" s="768">
        <v>25300</v>
      </c>
      <c r="C12" s="768">
        <v>37819</v>
      </c>
      <c r="D12" s="771">
        <v>18900</v>
      </c>
      <c r="E12" s="771">
        <v>18900</v>
      </c>
      <c r="F12" s="771">
        <v>61000</v>
      </c>
      <c r="G12" s="771">
        <v>109071</v>
      </c>
      <c r="H12" s="771">
        <v>72300</v>
      </c>
      <c r="I12" s="767">
        <v>72800</v>
      </c>
      <c r="J12" s="768">
        <f>SUM(ROUNDUP('Budget-Services'!H89,-2))</f>
        <v>78900</v>
      </c>
      <c r="K12" s="772">
        <f t="shared" si="0"/>
        <v>8.3791208791208785E-2</v>
      </c>
      <c r="L12" s="704"/>
      <c r="M12" s="704"/>
      <c r="N12" s="433"/>
      <c r="O12" s="774"/>
    </row>
    <row r="13" spans="1:24" ht="14.6" x14ac:dyDescent="0.4">
      <c r="A13" s="17" t="s">
        <v>29</v>
      </c>
      <c r="B13" s="18">
        <v>24200</v>
      </c>
      <c r="C13" s="18">
        <v>20177</v>
      </c>
      <c r="D13" s="20">
        <v>28000</v>
      </c>
      <c r="E13" s="20">
        <v>26213</v>
      </c>
      <c r="F13" s="20">
        <v>30600</v>
      </c>
      <c r="G13" s="20">
        <v>17822</v>
      </c>
      <c r="H13" s="20">
        <v>21800</v>
      </c>
      <c r="I13" s="19">
        <v>18500</v>
      </c>
      <c r="J13" s="18">
        <f>SUM(ROUNDUP('Budget-Services'!H109,-2))</f>
        <v>14300</v>
      </c>
      <c r="K13" s="353">
        <f t="shared" si="0"/>
        <v>-0.22702702702702704</v>
      </c>
      <c r="L13" s="6"/>
      <c r="M13" s="6"/>
      <c r="N13" s="3"/>
      <c r="O13" s="761"/>
    </row>
    <row r="14" spans="1:24" ht="14.6" x14ac:dyDescent="0.4">
      <c r="A14" s="7" t="s">
        <v>32</v>
      </c>
      <c r="B14" s="8">
        <v>63100</v>
      </c>
      <c r="C14" s="8">
        <v>72252</v>
      </c>
      <c r="D14" s="10">
        <v>76400</v>
      </c>
      <c r="E14" s="10">
        <v>74310</v>
      </c>
      <c r="F14" s="10">
        <v>89800</v>
      </c>
      <c r="G14" s="10">
        <v>72828</v>
      </c>
      <c r="H14" s="10">
        <v>102500</v>
      </c>
      <c r="I14" s="12">
        <v>90100</v>
      </c>
      <c r="J14" s="8">
        <f>SUM(ROUNDUP('Budget-Services'!H148,-2))</f>
        <v>106900</v>
      </c>
      <c r="K14" s="16">
        <f t="shared" si="0"/>
        <v>0.18645948945615981</v>
      </c>
      <c r="L14" s="6"/>
      <c r="M14" s="6"/>
      <c r="N14" s="3"/>
      <c r="O14" s="761"/>
    </row>
    <row r="15" spans="1:24" ht="14.6" x14ac:dyDescent="0.4">
      <c r="A15" s="656" t="s">
        <v>31</v>
      </c>
      <c r="B15" s="698">
        <v>51800</v>
      </c>
      <c r="C15" s="698">
        <v>43771</v>
      </c>
      <c r="D15" s="699">
        <v>52300</v>
      </c>
      <c r="E15" s="699">
        <v>39356</v>
      </c>
      <c r="F15" s="699">
        <v>53400</v>
      </c>
      <c r="G15" s="699">
        <v>42720</v>
      </c>
      <c r="H15" s="699">
        <v>41400</v>
      </c>
      <c r="I15" s="700">
        <v>41400</v>
      </c>
      <c r="J15" s="698">
        <f>SUM(ROUNDUP('Budget-Services'!H157,-2))</f>
        <v>40000</v>
      </c>
      <c r="K15" s="353">
        <f>(J15-I15)/I15</f>
        <v>-3.3816425120772944E-2</v>
      </c>
      <c r="L15" s="704"/>
      <c r="M15" s="894" t="s">
        <v>40</v>
      </c>
      <c r="N15" s="895"/>
      <c r="O15" s="761"/>
    </row>
    <row r="16" spans="1:24" ht="14.6" x14ac:dyDescent="0.4">
      <c r="A16" s="7" t="s">
        <v>33</v>
      </c>
      <c r="B16" s="8">
        <v>132900</v>
      </c>
      <c r="C16" s="8">
        <v>127293</v>
      </c>
      <c r="D16" s="10">
        <v>137300</v>
      </c>
      <c r="E16" s="10">
        <v>136281</v>
      </c>
      <c r="F16" s="10">
        <v>156400</v>
      </c>
      <c r="G16" s="10">
        <v>145935</v>
      </c>
      <c r="H16" s="10">
        <v>152500</v>
      </c>
      <c r="I16" s="12">
        <v>155000</v>
      </c>
      <c r="J16" s="8">
        <f>SUM(ROUNDUP('Budget-Services'!H171,-2))</f>
        <v>158400</v>
      </c>
      <c r="K16" s="16">
        <f t="shared" si="0"/>
        <v>2.1935483870967741E-2</v>
      </c>
      <c r="L16" s="6"/>
      <c r="M16" s="23">
        <f>SUM(I14:I26)</f>
        <v>1627300</v>
      </c>
      <c r="N16" s="20">
        <f>SUM(J14:J26)</f>
        <v>1722500</v>
      </c>
      <c r="O16" s="762">
        <f>N16/N34</f>
        <v>0.19672674113159277</v>
      </c>
    </row>
    <row r="17" spans="1:24" s="491" customFormat="1" ht="14.6" x14ac:dyDescent="0.4">
      <c r="A17" s="656" t="s">
        <v>34</v>
      </c>
      <c r="B17" s="698">
        <v>68200</v>
      </c>
      <c r="C17" s="698">
        <v>77852</v>
      </c>
      <c r="D17" s="699">
        <v>71800</v>
      </c>
      <c r="E17" s="699">
        <v>86917</v>
      </c>
      <c r="F17" s="699">
        <v>84800</v>
      </c>
      <c r="G17" s="699">
        <v>114375</v>
      </c>
      <c r="H17" s="699">
        <v>97000</v>
      </c>
      <c r="I17" s="763">
        <v>106500</v>
      </c>
      <c r="J17" s="764">
        <f>SUM(ROUNDUP('Budget-Services'!H199,-2))</f>
        <v>128000</v>
      </c>
      <c r="K17" s="353">
        <f t="shared" si="0"/>
        <v>0.20187793427230047</v>
      </c>
      <c r="L17" s="704"/>
      <c r="M17" s="704"/>
      <c r="N17" s="433"/>
      <c r="O17" s="774"/>
    </row>
    <row r="18" spans="1:24" ht="14.6" x14ac:dyDescent="0.4">
      <c r="A18" s="7" t="s">
        <v>35</v>
      </c>
      <c r="B18" s="8">
        <v>3600</v>
      </c>
      <c r="C18" s="8">
        <v>6778</v>
      </c>
      <c r="D18" s="10">
        <v>7800</v>
      </c>
      <c r="E18" s="10">
        <v>7800</v>
      </c>
      <c r="F18" s="10">
        <v>7800</v>
      </c>
      <c r="G18" s="10">
        <v>7800</v>
      </c>
      <c r="H18" s="10">
        <v>7800</v>
      </c>
      <c r="I18" s="12">
        <v>8400</v>
      </c>
      <c r="J18" s="8">
        <f>SUM(ROUNDUP('Budget-Services'!H205,-2))</f>
        <v>10100</v>
      </c>
      <c r="K18" s="16">
        <f t="shared" si="0"/>
        <v>0.20238095238095238</v>
      </c>
      <c r="L18" s="6"/>
      <c r="M18" s="23"/>
      <c r="N18" s="20"/>
      <c r="O18" s="761"/>
    </row>
    <row r="19" spans="1:24" ht="14.6" x14ac:dyDescent="0.4">
      <c r="A19" s="17" t="s">
        <v>36</v>
      </c>
      <c r="B19" s="18">
        <v>4500</v>
      </c>
      <c r="C19" s="18">
        <v>4359</v>
      </c>
      <c r="D19" s="20">
        <v>4500</v>
      </c>
      <c r="E19" s="20">
        <v>2586</v>
      </c>
      <c r="F19" s="20">
        <v>4500</v>
      </c>
      <c r="G19" s="20">
        <v>4500</v>
      </c>
      <c r="H19" s="20">
        <v>6000</v>
      </c>
      <c r="I19" s="19">
        <v>6000</v>
      </c>
      <c r="J19" s="18">
        <f>SUM(ROUNDUP('Budget-Services'!H209,-2))</f>
        <v>6000</v>
      </c>
      <c r="K19" s="353">
        <f t="shared" si="0"/>
        <v>0</v>
      </c>
      <c r="L19" s="6"/>
      <c r="M19" s="6"/>
      <c r="N19" s="3"/>
      <c r="O19" s="760"/>
      <c r="P19" s="3"/>
      <c r="Q19" s="3"/>
      <c r="R19" s="3"/>
      <c r="S19" s="3"/>
      <c r="T19" s="3"/>
      <c r="U19" s="3"/>
      <c r="V19" s="3"/>
      <c r="W19" s="3"/>
      <c r="X19" s="3"/>
    </row>
    <row r="20" spans="1:24" ht="14.6" x14ac:dyDescent="0.4">
      <c r="A20" s="7" t="s">
        <v>37</v>
      </c>
      <c r="B20" s="8">
        <v>28200</v>
      </c>
      <c r="C20" s="8">
        <v>29423</v>
      </c>
      <c r="D20" s="10">
        <v>45600</v>
      </c>
      <c r="E20" s="10">
        <v>44902</v>
      </c>
      <c r="F20" s="10">
        <v>44600</v>
      </c>
      <c r="G20" s="10">
        <v>40997</v>
      </c>
      <c r="H20" s="10">
        <v>47100</v>
      </c>
      <c r="I20" s="12">
        <v>45700</v>
      </c>
      <c r="J20" s="8">
        <f>SUM(ROUNDUP('Budget-Services'!H242,-2))</f>
        <v>47200</v>
      </c>
      <c r="K20" s="16">
        <f t="shared" si="0"/>
        <v>3.2822757111597371E-2</v>
      </c>
      <c r="L20" s="6"/>
      <c r="M20" s="6"/>
      <c r="N20" s="3"/>
      <c r="O20" s="761"/>
    </row>
    <row r="21" spans="1:24" ht="14.6" x14ac:dyDescent="0.4">
      <c r="A21" s="656" t="s">
        <v>38</v>
      </c>
      <c r="B21" s="698">
        <v>500</v>
      </c>
      <c r="C21" s="698">
        <v>0</v>
      </c>
      <c r="D21" s="699">
        <v>500</v>
      </c>
      <c r="E21" s="699">
        <v>19124</v>
      </c>
      <c r="F21" s="699">
        <v>500</v>
      </c>
      <c r="G21" s="699">
        <v>0</v>
      </c>
      <c r="H21" s="699">
        <v>500</v>
      </c>
      <c r="I21" s="700">
        <v>500</v>
      </c>
      <c r="J21" s="698">
        <f>SUM(ROUNDUP('Budget-Services'!H246,-2))</f>
        <v>500</v>
      </c>
      <c r="K21" s="353">
        <f t="shared" si="0"/>
        <v>0</v>
      </c>
      <c r="L21" s="6"/>
      <c r="M21" s="6"/>
      <c r="N21" s="3"/>
      <c r="O21" s="761"/>
    </row>
    <row r="22" spans="1:24" s="491" customFormat="1" ht="14.6" x14ac:dyDescent="0.4">
      <c r="A22" s="745" t="s">
        <v>39</v>
      </c>
      <c r="B22" s="768">
        <v>303600</v>
      </c>
      <c r="C22" s="768">
        <v>391901</v>
      </c>
      <c r="D22" s="771">
        <v>307500</v>
      </c>
      <c r="E22" s="771">
        <v>200502</v>
      </c>
      <c r="F22" s="771">
        <v>446500</v>
      </c>
      <c r="G22" s="771">
        <v>399678</v>
      </c>
      <c r="H22" s="771">
        <v>783300</v>
      </c>
      <c r="I22" s="767">
        <v>822700</v>
      </c>
      <c r="J22" s="768">
        <f>SUM(ROUNDUP('Budget-Services'!H266,-2))</f>
        <v>840700</v>
      </c>
      <c r="K22" s="772">
        <f t="shared" si="0"/>
        <v>2.1879178315303269E-2</v>
      </c>
      <c r="L22" s="704"/>
      <c r="M22" s="704"/>
      <c r="N22" s="433"/>
      <c r="O22" s="774"/>
    </row>
    <row r="23" spans="1:24" ht="14.6" x14ac:dyDescent="0.4">
      <c r="A23" s="656" t="s">
        <v>51</v>
      </c>
      <c r="B23" s="698">
        <v>226700</v>
      </c>
      <c r="C23" s="698">
        <v>205580</v>
      </c>
      <c r="D23" s="699">
        <v>235800</v>
      </c>
      <c r="E23" s="699">
        <v>235800</v>
      </c>
      <c r="F23" s="699">
        <v>237900</v>
      </c>
      <c r="G23" s="699">
        <v>189905</v>
      </c>
      <c r="H23" s="699">
        <v>0</v>
      </c>
      <c r="I23" s="700">
        <v>0</v>
      </c>
      <c r="J23" s="698">
        <v>0</v>
      </c>
      <c r="K23" s="353">
        <v>0</v>
      </c>
      <c r="L23" s="6"/>
      <c r="M23" s="6"/>
      <c r="N23" s="3"/>
      <c r="O23" s="761"/>
    </row>
    <row r="24" spans="1:24" s="491" customFormat="1" ht="14.6" x14ac:dyDescent="0.4">
      <c r="A24" s="745" t="s">
        <v>41</v>
      </c>
      <c r="B24" s="768">
        <v>228100</v>
      </c>
      <c r="C24" s="768">
        <v>246295</v>
      </c>
      <c r="D24" s="771">
        <v>264900</v>
      </c>
      <c r="E24" s="771">
        <v>279798</v>
      </c>
      <c r="F24" s="771">
        <v>310000</v>
      </c>
      <c r="G24" s="771">
        <v>319353</v>
      </c>
      <c r="H24" s="771">
        <v>271100</v>
      </c>
      <c r="I24" s="767">
        <v>274000</v>
      </c>
      <c r="J24" s="768">
        <f>SUM(ROUNDUP('Budget-Services'!H342,-2))</f>
        <v>270800</v>
      </c>
      <c r="K24" s="772">
        <f t="shared" si="0"/>
        <v>-1.167883211678832E-2</v>
      </c>
      <c r="L24" s="704"/>
      <c r="M24" s="704"/>
      <c r="N24" s="433"/>
      <c r="O24" s="774"/>
    </row>
    <row r="25" spans="1:24" ht="14.6" x14ac:dyDescent="0.4">
      <c r="A25" s="17" t="s">
        <v>43</v>
      </c>
      <c r="B25" s="18">
        <v>21700</v>
      </c>
      <c r="C25" s="18">
        <v>25295</v>
      </c>
      <c r="D25" s="20">
        <v>122800</v>
      </c>
      <c r="E25" s="20">
        <v>40867</v>
      </c>
      <c r="F25" s="20">
        <v>31300</v>
      </c>
      <c r="G25" s="20">
        <v>4110</v>
      </c>
      <c r="H25" s="20">
        <v>65700</v>
      </c>
      <c r="I25" s="19">
        <f>63700-1900</f>
        <v>61800</v>
      </c>
      <c r="J25" s="18">
        <f>SUM(ROUNDUP('Budget-Services'!H363,-2))</f>
        <v>96400</v>
      </c>
      <c r="K25" s="353">
        <f t="shared" si="0"/>
        <v>0.55987055016181231</v>
      </c>
      <c r="L25" s="6"/>
      <c r="M25" s="6"/>
      <c r="N25" s="3"/>
      <c r="O25" s="761"/>
    </row>
    <row r="26" spans="1:24" ht="14.6" x14ac:dyDescent="0.4">
      <c r="A26" s="7" t="s">
        <v>45</v>
      </c>
      <c r="B26" s="8">
        <v>17100</v>
      </c>
      <c r="C26" s="8">
        <v>14736</v>
      </c>
      <c r="D26" s="10">
        <v>17400</v>
      </c>
      <c r="E26" s="10">
        <v>13320</v>
      </c>
      <c r="F26" s="10">
        <v>17400</v>
      </c>
      <c r="G26" s="10">
        <v>13820</v>
      </c>
      <c r="H26" s="10">
        <v>15200</v>
      </c>
      <c r="I26" s="12">
        <v>15200</v>
      </c>
      <c r="J26" s="8">
        <f>SUM(ROUNDUP('Budget-Services'!H371,-2))</f>
        <v>17500</v>
      </c>
      <c r="K26" s="16">
        <f t="shared" si="0"/>
        <v>0.15131578947368421</v>
      </c>
      <c r="L26" s="6"/>
      <c r="M26" s="894" t="s">
        <v>53</v>
      </c>
      <c r="N26" s="895"/>
      <c r="O26" s="761"/>
    </row>
    <row r="27" spans="1:24" ht="14.6" x14ac:dyDescent="0.4">
      <c r="A27" s="17" t="s">
        <v>46</v>
      </c>
      <c r="B27" s="18">
        <v>425600</v>
      </c>
      <c r="C27" s="18">
        <f>310751+114766</f>
        <v>425517</v>
      </c>
      <c r="D27" s="20">
        <v>425600</v>
      </c>
      <c r="E27" s="20">
        <f>310751+114766</f>
        <v>425517</v>
      </c>
      <c r="F27" s="20">
        <v>425600</v>
      </c>
      <c r="G27" s="20">
        <v>425517</v>
      </c>
      <c r="H27" s="20">
        <v>425600</v>
      </c>
      <c r="I27" s="19">
        <v>425600</v>
      </c>
      <c r="J27" s="18">
        <f>SUM(ROUNDUP('Budget-Services'!H375,-2))</f>
        <v>425600</v>
      </c>
      <c r="K27" s="353">
        <f t="shared" si="0"/>
        <v>0</v>
      </c>
      <c r="L27" s="6"/>
      <c r="M27" s="550">
        <f>SUM(I27)</f>
        <v>425600</v>
      </c>
      <c r="N27" s="20">
        <f>SUM(J27)</f>
        <v>425600</v>
      </c>
      <c r="O27" s="759">
        <f>N27/N34</f>
        <v>4.8607779985837957E-2</v>
      </c>
    </row>
    <row r="28" spans="1:24" ht="14.6" x14ac:dyDescent="0.4">
      <c r="A28" s="7" t="s">
        <v>48</v>
      </c>
      <c r="B28" s="8">
        <v>23300</v>
      </c>
      <c r="C28" s="8">
        <v>33096</v>
      </c>
      <c r="D28" s="10">
        <v>70800</v>
      </c>
      <c r="E28" s="10">
        <v>178722</v>
      </c>
      <c r="F28" s="10">
        <v>50000</v>
      </c>
      <c r="G28" s="10">
        <v>110591</v>
      </c>
      <c r="H28" s="10">
        <v>66500</v>
      </c>
      <c r="I28" s="12">
        <v>55000</v>
      </c>
      <c r="J28" s="8">
        <f>SUM(ROUNDUP('Budget-Services'!H383,-2))</f>
        <v>80000</v>
      </c>
      <c r="K28" s="16">
        <f t="shared" si="0"/>
        <v>0.45454545454545453</v>
      </c>
      <c r="L28" s="6"/>
      <c r="M28" s="6"/>
      <c r="N28" s="3"/>
      <c r="O28" s="761"/>
    </row>
    <row r="29" spans="1:24" ht="14.6" x14ac:dyDescent="0.4">
      <c r="A29" s="17" t="s">
        <v>50</v>
      </c>
      <c r="B29" s="18">
        <v>0</v>
      </c>
      <c r="C29" s="18">
        <v>0</v>
      </c>
      <c r="D29" s="20">
        <v>3000</v>
      </c>
      <c r="E29" s="20">
        <v>0</v>
      </c>
      <c r="F29" s="20">
        <v>0</v>
      </c>
      <c r="G29" s="20">
        <v>0</v>
      </c>
      <c r="H29" s="20">
        <v>0</v>
      </c>
      <c r="I29" s="19">
        <v>0</v>
      </c>
      <c r="J29" s="18">
        <f>SUM(ROUNDUP('Budget-Services'!H387,-2))</f>
        <v>0</v>
      </c>
      <c r="K29" s="353">
        <v>0</v>
      </c>
      <c r="L29" s="6"/>
      <c r="M29" s="896" t="s">
        <v>55</v>
      </c>
      <c r="N29" s="895"/>
      <c r="O29" s="761"/>
    </row>
    <row r="30" spans="1:24" ht="14.6" x14ac:dyDescent="0.4">
      <c r="A30" s="7" t="s">
        <v>52</v>
      </c>
      <c r="B30" s="53">
        <v>5000</v>
      </c>
      <c r="C30" s="53">
        <v>0</v>
      </c>
      <c r="D30" s="54">
        <v>5000</v>
      </c>
      <c r="E30" s="54">
        <v>0</v>
      </c>
      <c r="F30" s="54">
        <v>5000</v>
      </c>
      <c r="G30" s="54">
        <v>0</v>
      </c>
      <c r="H30" s="54">
        <v>5000</v>
      </c>
      <c r="I30" s="55">
        <v>5000</v>
      </c>
      <c r="J30" s="53">
        <v>5000</v>
      </c>
      <c r="K30" s="354">
        <f t="shared" si="0"/>
        <v>0</v>
      </c>
      <c r="L30" s="6"/>
      <c r="M30" s="23">
        <f>SUM(I28:I30)</f>
        <v>60000</v>
      </c>
      <c r="N30" s="20">
        <f>SUM(J28:J30)</f>
        <v>85000</v>
      </c>
      <c r="O30" s="759">
        <f>N30/N34</f>
        <v>9.7078507960437661E-3</v>
      </c>
    </row>
    <row r="31" spans="1:24" thickBot="1" x14ac:dyDescent="0.45">
      <c r="A31" s="57" t="s">
        <v>54</v>
      </c>
      <c r="B31" s="58">
        <v>6853800</v>
      </c>
      <c r="C31" s="58">
        <f t="shared" ref="C31:J31" si="1">SUM(C2:C30)</f>
        <v>6821913</v>
      </c>
      <c r="D31" s="59">
        <f t="shared" si="1"/>
        <v>7431500</v>
      </c>
      <c r="E31" s="59">
        <f t="shared" si="1"/>
        <v>7004807</v>
      </c>
      <c r="F31" s="59">
        <f t="shared" si="1"/>
        <v>7682900</v>
      </c>
      <c r="G31" s="59">
        <f t="shared" si="1"/>
        <v>7542932</v>
      </c>
      <c r="H31" s="59">
        <f t="shared" si="1"/>
        <v>8237100</v>
      </c>
      <c r="I31" s="59">
        <f t="shared" si="1"/>
        <v>8432100</v>
      </c>
      <c r="J31" s="58">
        <f t="shared" si="1"/>
        <v>8560500</v>
      </c>
      <c r="K31" s="355">
        <f>(J31-I31)/I31</f>
        <v>1.5227523392749137E-2</v>
      </c>
      <c r="L31" s="6"/>
      <c r="M31" s="548">
        <f>SUM(M30+M27+M16+M10+M4)</f>
        <v>8432100</v>
      </c>
      <c r="N31" s="549">
        <f>SUM(N30+N27+N16+N10+N4)</f>
        <v>8560500</v>
      </c>
      <c r="O31" s="761"/>
    </row>
    <row r="32" spans="1:24" thickTop="1" x14ac:dyDescent="0.4">
      <c r="A32" s="7"/>
      <c r="B32" s="60"/>
      <c r="C32" s="60"/>
      <c r="D32" s="60"/>
      <c r="E32" s="60"/>
      <c r="F32" s="60"/>
      <c r="G32" s="60"/>
      <c r="H32" s="60"/>
      <c r="I32" s="60"/>
      <c r="J32" s="60"/>
      <c r="K32" s="16"/>
      <c r="L32" s="6"/>
      <c r="M32" s="6"/>
      <c r="N32" s="3"/>
      <c r="O32" s="761"/>
    </row>
    <row r="33" spans="1:15" s="491" customFormat="1" ht="14.6" x14ac:dyDescent="0.4">
      <c r="A33" s="489" t="s">
        <v>56</v>
      </c>
      <c r="B33" s="766">
        <v>128500</v>
      </c>
      <c r="C33" s="766">
        <v>132102</v>
      </c>
      <c r="D33" s="770">
        <v>150700</v>
      </c>
      <c r="E33" s="770">
        <v>136086</v>
      </c>
      <c r="F33" s="770">
        <v>166300</v>
      </c>
      <c r="G33" s="770">
        <v>172982</v>
      </c>
      <c r="H33" s="770">
        <v>185900</v>
      </c>
      <c r="I33" s="765">
        <v>187100</v>
      </c>
      <c r="J33" s="766">
        <f>SUM(ROUNDUP('ARB Budget'!F38,-2))</f>
        <v>195300</v>
      </c>
      <c r="K33" s="353">
        <f t="shared" si="0"/>
        <v>4.3826830571886695E-2</v>
      </c>
      <c r="L33" s="704"/>
      <c r="M33" s="704"/>
      <c r="N33" s="775">
        <v>195300</v>
      </c>
      <c r="O33" s="776">
        <f>N33/N34</f>
        <v>2.2305214829027618E-2</v>
      </c>
    </row>
    <row r="34" spans="1:15" thickBot="1" x14ac:dyDescent="0.45">
      <c r="A34" s="62" t="s">
        <v>57</v>
      </c>
      <c r="B34" s="63">
        <v>6982300</v>
      </c>
      <c r="C34" s="63">
        <f t="shared" ref="C34:J34" si="2">SUM(C31:C33)</f>
        <v>6954015</v>
      </c>
      <c r="D34" s="63">
        <f t="shared" si="2"/>
        <v>7582200</v>
      </c>
      <c r="E34" s="63">
        <f t="shared" si="2"/>
        <v>7140893</v>
      </c>
      <c r="F34" s="63">
        <f t="shared" si="2"/>
        <v>7849200</v>
      </c>
      <c r="G34" s="63">
        <f t="shared" si="2"/>
        <v>7715914</v>
      </c>
      <c r="H34" s="63">
        <f t="shared" si="2"/>
        <v>8423000</v>
      </c>
      <c r="I34" s="63">
        <f t="shared" si="2"/>
        <v>8619200</v>
      </c>
      <c r="J34" s="827">
        <f t="shared" si="2"/>
        <v>8755800</v>
      </c>
      <c r="K34" s="356">
        <f t="shared" si="0"/>
        <v>1.5848338592908854E-2</v>
      </c>
      <c r="L34" s="6"/>
      <c r="N34" s="757">
        <f>SUM(N31:N33)</f>
        <v>8755800</v>
      </c>
      <c r="O34" s="758">
        <f>SUM(O4:O33)</f>
        <v>0.99999999999999989</v>
      </c>
    </row>
    <row r="35" spans="1:15" thickTop="1" x14ac:dyDescent="0.4">
      <c r="A35" s="701" t="s">
        <v>59</v>
      </c>
      <c r="B35" s="702"/>
      <c r="C35" s="702"/>
      <c r="D35" s="703">
        <v>-124000</v>
      </c>
      <c r="E35" s="703"/>
      <c r="F35" s="703"/>
      <c r="G35" s="703"/>
      <c r="H35" s="703"/>
      <c r="I35" s="703"/>
      <c r="J35" s="698"/>
      <c r="K35" s="353"/>
      <c r="L35" s="3"/>
      <c r="M35" s="3"/>
      <c r="N35" s="3"/>
    </row>
    <row r="36" spans="1:15" thickBot="1" x14ac:dyDescent="0.45">
      <c r="A36" s="7" t="s">
        <v>60</v>
      </c>
      <c r="B36" s="71">
        <v>-200000</v>
      </c>
      <c r="C36" s="71"/>
      <c r="D36" s="35"/>
      <c r="E36" s="35"/>
      <c r="F36" s="35"/>
      <c r="G36" s="35"/>
      <c r="H36" s="72">
        <v>-247604</v>
      </c>
      <c r="I36" s="73">
        <v>-200000</v>
      </c>
      <c r="J36" s="74"/>
      <c r="K36" s="16"/>
      <c r="L36" s="6"/>
      <c r="M36" s="6"/>
      <c r="N36" s="3"/>
    </row>
    <row r="37" spans="1:15" ht="15.45" thickTop="1" thickBot="1" x14ac:dyDescent="0.45">
      <c r="A37" s="75" t="s">
        <v>61</v>
      </c>
      <c r="B37" s="76">
        <v>6782300</v>
      </c>
      <c r="C37" s="76"/>
      <c r="D37" s="76">
        <f>SUM(D34:D36)</f>
        <v>7458200</v>
      </c>
      <c r="E37" s="76"/>
      <c r="F37" s="76">
        <f>SUM(F34)</f>
        <v>7849200</v>
      </c>
      <c r="G37" s="76"/>
      <c r="H37" s="76">
        <f t="shared" ref="H37:J37" si="3">SUM(H34:H36)</f>
        <v>8175396</v>
      </c>
      <c r="I37" s="76">
        <f t="shared" si="3"/>
        <v>8419200</v>
      </c>
      <c r="J37" s="77">
        <f t="shared" si="3"/>
        <v>8755800</v>
      </c>
      <c r="K37" s="357">
        <f t="shared" si="0"/>
        <v>3.9980045610034209E-2</v>
      </c>
      <c r="L37" s="3"/>
      <c r="M37" s="3"/>
      <c r="N37" s="3"/>
    </row>
    <row r="38" spans="1:15" thickTop="1" x14ac:dyDescent="0.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"/>
      <c r="M38" s="6"/>
      <c r="N38" s="3"/>
    </row>
    <row r="39" spans="1:15" ht="14.6" x14ac:dyDescent="0.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"/>
      <c r="M39" s="6"/>
      <c r="N39" s="3"/>
    </row>
    <row r="40" spans="1:15" ht="14.6" x14ac:dyDescent="0.4">
      <c r="A40" s="66"/>
      <c r="B40" s="78"/>
      <c r="C40" s="78"/>
      <c r="D40" s="78"/>
      <c r="E40" s="78"/>
      <c r="F40" s="78"/>
      <c r="G40" s="78"/>
      <c r="H40" s="78"/>
      <c r="I40" s="78"/>
      <c r="J40" s="78"/>
      <c r="K40" s="66"/>
      <c r="L40" s="6"/>
      <c r="M40" s="6"/>
      <c r="N40" s="3"/>
    </row>
    <row r="41" spans="1:15" ht="14.6" x14ac:dyDescent="0.4">
      <c r="A41" s="3"/>
      <c r="B41" s="3"/>
      <c r="C41" s="3"/>
      <c r="D41" s="3"/>
      <c r="E41" s="3"/>
      <c r="F41" s="3"/>
      <c r="G41" s="3"/>
      <c r="H41" s="3"/>
      <c r="I41" s="3"/>
      <c r="J41" s="17"/>
      <c r="K41" s="17"/>
      <c r="L41" s="6"/>
      <c r="M41" s="6"/>
      <c r="N41" s="3"/>
    </row>
    <row r="42" spans="1:15" ht="14.6" x14ac:dyDescent="0.4">
      <c r="A42" s="3"/>
      <c r="B42" s="3"/>
      <c r="C42" s="3"/>
      <c r="D42" s="3"/>
      <c r="E42" s="3"/>
      <c r="F42" s="3"/>
      <c r="G42" s="3"/>
      <c r="H42" s="3"/>
      <c r="I42" s="3"/>
      <c r="J42" s="17"/>
      <c r="K42" s="17"/>
      <c r="L42" s="6"/>
      <c r="M42" s="6"/>
      <c r="N42" s="3"/>
    </row>
    <row r="43" spans="1:15" ht="14.6" x14ac:dyDescent="0.4">
      <c r="A43" s="3"/>
      <c r="B43" s="3"/>
      <c r="C43" s="3"/>
      <c r="D43" s="3"/>
      <c r="E43" s="3"/>
      <c r="F43" s="3"/>
      <c r="G43" s="3"/>
      <c r="H43" s="3"/>
      <c r="I43" s="3"/>
      <c r="J43" s="17"/>
      <c r="K43" s="17"/>
      <c r="L43" s="6"/>
      <c r="M43" s="6"/>
      <c r="N43" s="3"/>
    </row>
    <row r="44" spans="1:15" ht="14.6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6"/>
      <c r="M44" s="6"/>
      <c r="N44" s="3"/>
    </row>
    <row r="45" spans="1:15" ht="14.6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6"/>
      <c r="M45" s="6"/>
      <c r="N45" s="3"/>
    </row>
    <row r="46" spans="1:15" ht="14.6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6"/>
      <c r="M46" s="6"/>
      <c r="N46" s="3"/>
    </row>
    <row r="47" spans="1:15" ht="14.6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6"/>
      <c r="M47" s="6"/>
      <c r="N47" s="3"/>
    </row>
    <row r="48" spans="1:15" ht="14.6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6"/>
      <c r="M48" s="6"/>
      <c r="N48" s="3"/>
    </row>
    <row r="49" spans="1:14" ht="14.6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6"/>
      <c r="M49" s="6"/>
      <c r="N49" s="3"/>
    </row>
    <row r="50" spans="1:14" ht="14.6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6"/>
      <c r="M50" s="6"/>
      <c r="N50" s="3"/>
    </row>
    <row r="51" spans="1:14" ht="14.6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6"/>
      <c r="M51" s="6"/>
      <c r="N51" s="3"/>
    </row>
    <row r="52" spans="1:14" ht="14.6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6"/>
      <c r="M52" s="6"/>
      <c r="N52" s="3"/>
    </row>
    <row r="53" spans="1:14" ht="14.6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6"/>
      <c r="M53" s="6"/>
      <c r="N53" s="3"/>
    </row>
    <row r="54" spans="1:14" ht="14.6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6"/>
      <c r="M54" s="6"/>
      <c r="N54" s="3"/>
    </row>
    <row r="55" spans="1:14" ht="14.6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6"/>
      <c r="M55" s="6"/>
      <c r="N55" s="3"/>
    </row>
    <row r="56" spans="1:14" ht="14.6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6"/>
      <c r="M56" s="6"/>
      <c r="N56" s="3"/>
    </row>
    <row r="57" spans="1:14" ht="14.6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6"/>
      <c r="M57" s="6"/>
      <c r="N57" s="3"/>
    </row>
    <row r="58" spans="1:14" ht="14.6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6"/>
      <c r="M58" s="6"/>
      <c r="N58" s="3"/>
    </row>
    <row r="59" spans="1:14" ht="14.6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6"/>
      <c r="M59" s="6"/>
      <c r="N59" s="3"/>
    </row>
    <row r="60" spans="1:14" ht="14.6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6"/>
      <c r="M60" s="6"/>
      <c r="N60" s="3"/>
    </row>
    <row r="61" spans="1:14" ht="14.6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6"/>
      <c r="M61" s="6"/>
      <c r="N61" s="3"/>
    </row>
    <row r="62" spans="1:14" ht="14.6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6"/>
      <c r="M62" s="6"/>
      <c r="N62" s="3"/>
    </row>
    <row r="63" spans="1:14" ht="14.6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6"/>
      <c r="M63" s="6"/>
      <c r="N63" s="3"/>
    </row>
    <row r="64" spans="1:14" ht="14.6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6"/>
      <c r="M64" s="6"/>
      <c r="N64" s="3"/>
    </row>
    <row r="65" spans="1:14" ht="14.6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6"/>
      <c r="M65" s="6"/>
      <c r="N65" s="3"/>
    </row>
    <row r="66" spans="1:14" ht="14.6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6"/>
      <c r="M66" s="6"/>
      <c r="N66" s="3"/>
    </row>
    <row r="67" spans="1:14" ht="14.6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6"/>
      <c r="M67" s="6"/>
      <c r="N67" s="3"/>
    </row>
    <row r="68" spans="1:14" ht="14.6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6"/>
      <c r="M68" s="6"/>
      <c r="N68" s="3"/>
    </row>
    <row r="69" spans="1:14" ht="14.6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6"/>
      <c r="M69" s="6"/>
      <c r="N69" s="3"/>
    </row>
    <row r="70" spans="1:14" ht="14.6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6"/>
      <c r="M70" s="6"/>
      <c r="N70" s="3"/>
    </row>
    <row r="71" spans="1:14" ht="14.6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6"/>
      <c r="M71" s="6"/>
      <c r="N71" s="3"/>
    </row>
    <row r="72" spans="1:14" ht="14.6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6"/>
      <c r="M72" s="6"/>
      <c r="N72" s="3"/>
    </row>
    <row r="73" spans="1:14" ht="14.6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6"/>
      <c r="M73" s="6"/>
      <c r="N73" s="3"/>
    </row>
    <row r="74" spans="1:14" ht="14.6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6"/>
      <c r="M74" s="6"/>
      <c r="N74" s="3"/>
    </row>
    <row r="75" spans="1:14" ht="14.6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6"/>
      <c r="M75" s="6"/>
      <c r="N75" s="3"/>
    </row>
    <row r="76" spans="1:14" ht="14.6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6"/>
      <c r="M76" s="6"/>
      <c r="N76" s="3"/>
    </row>
    <row r="77" spans="1:14" ht="14.6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6"/>
      <c r="M77" s="6"/>
      <c r="N77" s="3"/>
    </row>
    <row r="78" spans="1:14" ht="14.6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6"/>
      <c r="M78" s="6"/>
      <c r="N78" s="3"/>
    </row>
    <row r="79" spans="1:14" ht="14.6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6"/>
      <c r="M79" s="6"/>
      <c r="N79" s="3"/>
    </row>
    <row r="80" spans="1:14" ht="14.6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6"/>
      <c r="M80" s="6"/>
      <c r="N80" s="3"/>
    </row>
    <row r="81" spans="1:14" ht="14.6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6"/>
      <c r="M81" s="6"/>
      <c r="N81" s="3"/>
    </row>
    <row r="82" spans="1:14" ht="14.6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6"/>
      <c r="M82" s="6"/>
      <c r="N82" s="3"/>
    </row>
    <row r="83" spans="1:14" ht="14.6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6"/>
      <c r="M83" s="6"/>
      <c r="N83" s="3"/>
    </row>
    <row r="84" spans="1:14" ht="14.6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6"/>
      <c r="M84" s="6"/>
      <c r="N84" s="3"/>
    </row>
    <row r="85" spans="1:14" ht="14.6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6"/>
      <c r="M85" s="6"/>
      <c r="N85" s="3"/>
    </row>
    <row r="86" spans="1:14" ht="14.6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6"/>
      <c r="M86" s="6"/>
      <c r="N86" s="3"/>
    </row>
    <row r="87" spans="1:14" ht="14.6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6"/>
      <c r="M87" s="6"/>
      <c r="N87" s="3"/>
    </row>
    <row r="88" spans="1:14" ht="14.6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6"/>
      <c r="M88" s="6"/>
      <c r="N88" s="3"/>
    </row>
    <row r="89" spans="1:14" ht="14.6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6"/>
      <c r="M89" s="6"/>
      <c r="N89" s="3"/>
    </row>
    <row r="90" spans="1:14" ht="14.6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6"/>
      <c r="M90" s="6"/>
      <c r="N90" s="3"/>
    </row>
    <row r="91" spans="1:14" ht="14.6" x14ac:dyDescent="0.4">
      <c r="A91" s="66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6"/>
      <c r="M91" s="6"/>
      <c r="N91" s="3"/>
    </row>
    <row r="92" spans="1:14" ht="14.6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4.6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4.6" x14ac:dyDescent="0.4">
      <c r="G94" s="3"/>
    </row>
    <row r="95" spans="1:14" ht="14.6" x14ac:dyDescent="0.4">
      <c r="G95" s="3"/>
    </row>
    <row r="96" spans="1:14" ht="14.6" x14ac:dyDescent="0.4">
      <c r="G96" s="3"/>
    </row>
    <row r="97" spans="7:7" ht="14.6" x14ac:dyDescent="0.4">
      <c r="G97" s="3"/>
    </row>
    <row r="98" spans="7:7" ht="14.6" x14ac:dyDescent="0.4">
      <c r="G98" s="3"/>
    </row>
    <row r="99" spans="7:7" ht="14.6" x14ac:dyDescent="0.4">
      <c r="G99" s="3"/>
    </row>
    <row r="100" spans="7:7" ht="14.6" x14ac:dyDescent="0.4">
      <c r="G100" s="3"/>
    </row>
    <row r="101" spans="7:7" ht="14.6" x14ac:dyDescent="0.4">
      <c r="G101" s="3"/>
    </row>
    <row r="102" spans="7:7" ht="14.6" x14ac:dyDescent="0.4">
      <c r="G102" s="3"/>
    </row>
    <row r="103" spans="7:7" ht="14.6" x14ac:dyDescent="0.4">
      <c r="G103" s="3"/>
    </row>
    <row r="104" spans="7:7" ht="14.6" x14ac:dyDescent="0.4">
      <c r="G104" s="3"/>
    </row>
    <row r="105" spans="7:7" ht="14.6" x14ac:dyDescent="0.4">
      <c r="G105" s="3"/>
    </row>
    <row r="106" spans="7:7" ht="14.6" x14ac:dyDescent="0.4">
      <c r="G106" s="3"/>
    </row>
    <row r="107" spans="7:7" ht="14.6" x14ac:dyDescent="0.4">
      <c r="G107" s="3"/>
    </row>
    <row r="108" spans="7:7" ht="14.6" x14ac:dyDescent="0.4">
      <c r="G108" s="3"/>
    </row>
    <row r="109" spans="7:7" ht="14.6" x14ac:dyDescent="0.4">
      <c r="G109" s="3"/>
    </row>
    <row r="110" spans="7:7" ht="14.6" x14ac:dyDescent="0.4">
      <c r="G110" s="3"/>
    </row>
    <row r="111" spans="7:7" ht="14.6" x14ac:dyDescent="0.4">
      <c r="G111" s="3"/>
    </row>
    <row r="112" spans="7:7" ht="14.6" x14ac:dyDescent="0.4">
      <c r="G112" s="3"/>
    </row>
    <row r="113" spans="7:7" ht="14.6" x14ac:dyDescent="0.4">
      <c r="G113" s="3"/>
    </row>
    <row r="114" spans="7:7" ht="14.6" x14ac:dyDescent="0.4">
      <c r="G114" s="3"/>
    </row>
    <row r="115" spans="7:7" ht="14.6" x14ac:dyDescent="0.4">
      <c r="G115" s="3"/>
    </row>
    <row r="116" spans="7:7" ht="14.6" x14ac:dyDescent="0.4">
      <c r="G116" s="3"/>
    </row>
    <row r="117" spans="7:7" ht="14.6" x14ac:dyDescent="0.4">
      <c r="G117" s="3"/>
    </row>
    <row r="118" spans="7:7" ht="14.6" x14ac:dyDescent="0.4">
      <c r="G118" s="3"/>
    </row>
    <row r="119" spans="7:7" ht="14.6" x14ac:dyDescent="0.4">
      <c r="G119" s="3"/>
    </row>
    <row r="120" spans="7:7" ht="14.6" x14ac:dyDescent="0.4">
      <c r="G120" s="3"/>
    </row>
    <row r="121" spans="7:7" ht="14.6" x14ac:dyDescent="0.4">
      <c r="G121" s="3"/>
    </row>
    <row r="122" spans="7:7" ht="14.6" x14ac:dyDescent="0.4">
      <c r="G122" s="3"/>
    </row>
    <row r="123" spans="7:7" ht="14.6" x14ac:dyDescent="0.4">
      <c r="G123" s="3"/>
    </row>
    <row r="124" spans="7:7" ht="14.6" x14ac:dyDescent="0.4">
      <c r="G124" s="3"/>
    </row>
    <row r="125" spans="7:7" ht="14.6" x14ac:dyDescent="0.4">
      <c r="G125" s="3"/>
    </row>
    <row r="126" spans="7:7" ht="14.6" x14ac:dyDescent="0.4">
      <c r="G126" s="3"/>
    </row>
    <row r="127" spans="7:7" ht="14.6" x14ac:dyDescent="0.4">
      <c r="G127" s="3"/>
    </row>
    <row r="128" spans="7:7" ht="14.6" x14ac:dyDescent="0.4">
      <c r="G128" s="3"/>
    </row>
    <row r="129" spans="7:7" ht="14.6" x14ac:dyDescent="0.4">
      <c r="G129" s="3"/>
    </row>
    <row r="130" spans="7:7" ht="14.6" x14ac:dyDescent="0.4">
      <c r="G130" s="3"/>
    </row>
    <row r="131" spans="7:7" ht="14.6" x14ac:dyDescent="0.4">
      <c r="G131" s="3"/>
    </row>
    <row r="132" spans="7:7" ht="14.6" x14ac:dyDescent="0.4">
      <c r="G132" s="3"/>
    </row>
    <row r="133" spans="7:7" ht="14.6" x14ac:dyDescent="0.4">
      <c r="G133" s="3"/>
    </row>
    <row r="134" spans="7:7" ht="14.6" x14ac:dyDescent="0.4">
      <c r="G134" s="3"/>
    </row>
    <row r="135" spans="7:7" ht="14.6" x14ac:dyDescent="0.4">
      <c r="G135" s="3"/>
    </row>
    <row r="136" spans="7:7" ht="14.6" x14ac:dyDescent="0.4">
      <c r="G136" s="3"/>
    </row>
    <row r="137" spans="7:7" ht="14.6" x14ac:dyDescent="0.4">
      <c r="G137" s="3"/>
    </row>
    <row r="138" spans="7:7" ht="14.6" x14ac:dyDescent="0.4">
      <c r="G138" s="3"/>
    </row>
    <row r="139" spans="7:7" ht="14.6" x14ac:dyDescent="0.4">
      <c r="G139" s="3"/>
    </row>
    <row r="140" spans="7:7" ht="14.6" x14ac:dyDescent="0.4">
      <c r="G140" s="3"/>
    </row>
    <row r="141" spans="7:7" ht="14.6" x14ac:dyDescent="0.4">
      <c r="G141" s="3"/>
    </row>
    <row r="142" spans="7:7" ht="14.6" x14ac:dyDescent="0.4">
      <c r="G142" s="3"/>
    </row>
    <row r="143" spans="7:7" ht="14.6" x14ac:dyDescent="0.4">
      <c r="G143" s="3"/>
    </row>
    <row r="144" spans="7:7" ht="14.6" x14ac:dyDescent="0.4">
      <c r="G144" s="3"/>
    </row>
    <row r="145" spans="7:7" ht="14.6" x14ac:dyDescent="0.4">
      <c r="G145" s="3"/>
    </row>
    <row r="146" spans="7:7" ht="14.6" x14ac:dyDescent="0.4">
      <c r="G146" s="3"/>
    </row>
    <row r="147" spans="7:7" ht="14.6" x14ac:dyDescent="0.4">
      <c r="G147" s="3"/>
    </row>
    <row r="148" spans="7:7" ht="14.6" x14ac:dyDescent="0.4">
      <c r="G148" s="3"/>
    </row>
    <row r="149" spans="7:7" ht="14.6" x14ac:dyDescent="0.4">
      <c r="G149" s="3"/>
    </row>
    <row r="150" spans="7:7" ht="14.6" x14ac:dyDescent="0.4">
      <c r="G150" s="3"/>
    </row>
    <row r="151" spans="7:7" ht="14.6" x14ac:dyDescent="0.4">
      <c r="G151" s="3"/>
    </row>
    <row r="152" spans="7:7" ht="14.6" x14ac:dyDescent="0.4">
      <c r="G152" s="3"/>
    </row>
    <row r="153" spans="7:7" ht="14.6" x14ac:dyDescent="0.4">
      <c r="G153" s="3"/>
    </row>
    <row r="154" spans="7:7" ht="14.6" x14ac:dyDescent="0.4">
      <c r="G154" s="3"/>
    </row>
    <row r="155" spans="7:7" ht="14.6" x14ac:dyDescent="0.4">
      <c r="G155" s="3"/>
    </row>
    <row r="156" spans="7:7" ht="14.6" x14ac:dyDescent="0.4">
      <c r="G156" s="3"/>
    </row>
    <row r="157" spans="7:7" ht="14.6" x14ac:dyDescent="0.4">
      <c r="G157" s="3"/>
    </row>
    <row r="158" spans="7:7" ht="14.6" x14ac:dyDescent="0.4">
      <c r="G158" s="3"/>
    </row>
    <row r="159" spans="7:7" ht="14.6" x14ac:dyDescent="0.4">
      <c r="G159" s="3"/>
    </row>
    <row r="160" spans="7:7" ht="14.6" x14ac:dyDescent="0.4">
      <c r="G160" s="3"/>
    </row>
    <row r="161" spans="7:7" ht="14.6" x14ac:dyDescent="0.4">
      <c r="G161" s="3"/>
    </row>
    <row r="162" spans="7:7" ht="14.6" x14ac:dyDescent="0.4">
      <c r="G162" s="3"/>
    </row>
    <row r="163" spans="7:7" ht="14.6" x14ac:dyDescent="0.4">
      <c r="G163" s="3"/>
    </row>
    <row r="164" spans="7:7" ht="14.6" x14ac:dyDescent="0.4">
      <c r="G164" s="3"/>
    </row>
    <row r="165" spans="7:7" ht="14.6" x14ac:dyDescent="0.4">
      <c r="G165" s="3"/>
    </row>
    <row r="166" spans="7:7" ht="14.6" x14ac:dyDescent="0.4">
      <c r="G166" s="3"/>
    </row>
    <row r="167" spans="7:7" ht="14.6" x14ac:dyDescent="0.4">
      <c r="G167" s="3"/>
    </row>
    <row r="168" spans="7:7" ht="14.6" x14ac:dyDescent="0.4">
      <c r="G168" s="3"/>
    </row>
    <row r="169" spans="7:7" ht="14.6" x14ac:dyDescent="0.4">
      <c r="G169" s="3"/>
    </row>
    <row r="170" spans="7:7" ht="14.6" x14ac:dyDescent="0.4">
      <c r="G170" s="3"/>
    </row>
    <row r="171" spans="7:7" ht="14.6" x14ac:dyDescent="0.4">
      <c r="G171" s="3"/>
    </row>
    <row r="172" spans="7:7" ht="14.6" x14ac:dyDescent="0.4">
      <c r="G172" s="3"/>
    </row>
    <row r="173" spans="7:7" ht="14.6" x14ac:dyDescent="0.4">
      <c r="G173" s="3"/>
    </row>
    <row r="174" spans="7:7" ht="14.6" x14ac:dyDescent="0.4">
      <c r="G174" s="3"/>
    </row>
    <row r="175" spans="7:7" ht="14.6" x14ac:dyDescent="0.4">
      <c r="G175" s="3"/>
    </row>
    <row r="176" spans="7:7" ht="14.6" x14ac:dyDescent="0.4">
      <c r="G176" s="3"/>
    </row>
    <row r="177" spans="7:7" ht="14.6" x14ac:dyDescent="0.4">
      <c r="G177" s="3"/>
    </row>
    <row r="178" spans="7:7" ht="14.6" x14ac:dyDescent="0.4">
      <c r="G178" s="3"/>
    </row>
    <row r="179" spans="7:7" ht="14.6" x14ac:dyDescent="0.4">
      <c r="G179" s="3"/>
    </row>
    <row r="180" spans="7:7" ht="14.6" x14ac:dyDescent="0.4">
      <c r="G180" s="3"/>
    </row>
    <row r="181" spans="7:7" ht="14.6" x14ac:dyDescent="0.4">
      <c r="G181" s="3"/>
    </row>
    <row r="182" spans="7:7" ht="14.6" x14ac:dyDescent="0.4">
      <c r="G182" s="3"/>
    </row>
    <row r="183" spans="7:7" ht="14.6" x14ac:dyDescent="0.4">
      <c r="G183" s="3"/>
    </row>
    <row r="184" spans="7:7" ht="14.6" x14ac:dyDescent="0.4">
      <c r="G184" s="3"/>
    </row>
    <row r="185" spans="7:7" ht="14.6" x14ac:dyDescent="0.4">
      <c r="G185" s="3"/>
    </row>
    <row r="186" spans="7:7" ht="14.6" x14ac:dyDescent="0.4">
      <c r="G186" s="3"/>
    </row>
    <row r="187" spans="7:7" ht="14.6" x14ac:dyDescent="0.4">
      <c r="G187" s="3"/>
    </row>
    <row r="188" spans="7:7" ht="14.6" x14ac:dyDescent="0.4">
      <c r="G188" s="3"/>
    </row>
    <row r="189" spans="7:7" ht="14.6" x14ac:dyDescent="0.4">
      <c r="G189" s="3"/>
    </row>
    <row r="190" spans="7:7" ht="14.6" x14ac:dyDescent="0.4">
      <c r="G190" s="3"/>
    </row>
    <row r="191" spans="7:7" ht="14.6" x14ac:dyDescent="0.4">
      <c r="G191" s="3"/>
    </row>
    <row r="192" spans="7:7" ht="14.6" x14ac:dyDescent="0.4">
      <c r="G192" s="3"/>
    </row>
    <row r="193" spans="7:7" ht="14.6" x14ac:dyDescent="0.4">
      <c r="G193" s="3"/>
    </row>
    <row r="194" spans="7:7" ht="14.6" x14ac:dyDescent="0.4">
      <c r="G194" s="3"/>
    </row>
    <row r="195" spans="7:7" ht="14.6" x14ac:dyDescent="0.4">
      <c r="G195" s="3"/>
    </row>
    <row r="196" spans="7:7" ht="14.6" x14ac:dyDescent="0.4">
      <c r="G196" s="3"/>
    </row>
    <row r="197" spans="7:7" ht="14.6" x14ac:dyDescent="0.4">
      <c r="G197" s="3"/>
    </row>
    <row r="198" spans="7:7" ht="14.6" x14ac:dyDescent="0.4">
      <c r="G198" s="3"/>
    </row>
    <row r="199" spans="7:7" ht="14.6" x14ac:dyDescent="0.4">
      <c r="G199" s="3"/>
    </row>
    <row r="200" spans="7:7" ht="14.6" x14ac:dyDescent="0.4">
      <c r="G200" s="3"/>
    </row>
    <row r="201" spans="7:7" ht="14.6" x14ac:dyDescent="0.4">
      <c r="G201" s="3"/>
    </row>
    <row r="202" spans="7:7" ht="14.6" x14ac:dyDescent="0.4">
      <c r="G202" s="3"/>
    </row>
    <row r="203" spans="7:7" ht="14.6" x14ac:dyDescent="0.4">
      <c r="G203" s="3"/>
    </row>
    <row r="204" spans="7:7" ht="14.6" x14ac:dyDescent="0.4">
      <c r="G204" s="3"/>
    </row>
    <row r="205" spans="7:7" ht="14.6" x14ac:dyDescent="0.4">
      <c r="G205" s="3"/>
    </row>
    <row r="206" spans="7:7" ht="14.6" x14ac:dyDescent="0.4">
      <c r="G206" s="3"/>
    </row>
    <row r="207" spans="7:7" ht="14.6" x14ac:dyDescent="0.4">
      <c r="G207" s="3"/>
    </row>
    <row r="208" spans="7:7" ht="14.6" x14ac:dyDescent="0.4">
      <c r="G208" s="3"/>
    </row>
    <row r="209" spans="7:7" ht="14.6" x14ac:dyDescent="0.4">
      <c r="G209" s="3"/>
    </row>
    <row r="210" spans="7:7" ht="14.6" x14ac:dyDescent="0.4">
      <c r="G210" s="3"/>
    </row>
    <row r="211" spans="7:7" ht="14.6" x14ac:dyDescent="0.4">
      <c r="G211" s="3"/>
    </row>
    <row r="212" spans="7:7" ht="14.6" x14ac:dyDescent="0.4">
      <c r="G212" s="3"/>
    </row>
    <row r="213" spans="7:7" ht="14.6" x14ac:dyDescent="0.4">
      <c r="G213" s="3"/>
    </row>
    <row r="214" spans="7:7" ht="14.6" x14ac:dyDescent="0.4">
      <c r="G214" s="3"/>
    </row>
    <row r="215" spans="7:7" ht="14.6" x14ac:dyDescent="0.4">
      <c r="G215" s="3"/>
    </row>
    <row r="216" spans="7:7" ht="14.6" x14ac:dyDescent="0.4">
      <c r="G216" s="3"/>
    </row>
    <row r="217" spans="7:7" ht="14.6" x14ac:dyDescent="0.4">
      <c r="G217" s="3"/>
    </row>
    <row r="218" spans="7:7" ht="14.6" x14ac:dyDescent="0.4">
      <c r="G218" s="3"/>
    </row>
    <row r="219" spans="7:7" ht="14.6" x14ac:dyDescent="0.4">
      <c r="G219" s="3"/>
    </row>
    <row r="220" spans="7:7" ht="14.6" x14ac:dyDescent="0.4">
      <c r="G220" s="3"/>
    </row>
    <row r="221" spans="7:7" ht="14.6" x14ac:dyDescent="0.4">
      <c r="G221" s="3"/>
    </row>
    <row r="222" spans="7:7" ht="14.6" x14ac:dyDescent="0.4">
      <c r="G222" s="3"/>
    </row>
    <row r="223" spans="7:7" ht="14.6" x14ac:dyDescent="0.4">
      <c r="G223" s="3"/>
    </row>
    <row r="224" spans="7:7" ht="14.6" x14ac:dyDescent="0.4">
      <c r="G224" s="3"/>
    </row>
    <row r="225" spans="7:7" ht="14.6" x14ac:dyDescent="0.4">
      <c r="G225" s="3"/>
    </row>
    <row r="226" spans="7:7" ht="14.6" x14ac:dyDescent="0.4">
      <c r="G226" s="3"/>
    </row>
    <row r="227" spans="7:7" ht="14.6" x14ac:dyDescent="0.4">
      <c r="G227" s="3"/>
    </row>
    <row r="228" spans="7:7" ht="14.6" x14ac:dyDescent="0.4">
      <c r="G228" s="3"/>
    </row>
    <row r="229" spans="7:7" ht="14.6" x14ac:dyDescent="0.4">
      <c r="G229" s="3"/>
    </row>
    <row r="230" spans="7:7" ht="14.6" x14ac:dyDescent="0.4">
      <c r="G230" s="3"/>
    </row>
    <row r="231" spans="7:7" ht="14.6" x14ac:dyDescent="0.4">
      <c r="G231" s="3"/>
    </row>
    <row r="232" spans="7:7" ht="14.6" x14ac:dyDescent="0.4">
      <c r="G232" s="3"/>
    </row>
    <row r="233" spans="7:7" ht="14.6" x14ac:dyDescent="0.4">
      <c r="G233" s="3"/>
    </row>
    <row r="234" spans="7:7" ht="14.6" x14ac:dyDescent="0.4">
      <c r="G234" s="3"/>
    </row>
    <row r="235" spans="7:7" ht="14.6" x14ac:dyDescent="0.4">
      <c r="G235" s="3"/>
    </row>
    <row r="236" spans="7:7" ht="14.6" x14ac:dyDescent="0.4">
      <c r="G236" s="3"/>
    </row>
    <row r="237" spans="7:7" ht="14.6" x14ac:dyDescent="0.4">
      <c r="G237" s="3"/>
    </row>
    <row r="238" spans="7:7" ht="14.6" x14ac:dyDescent="0.4">
      <c r="G238" s="3"/>
    </row>
    <row r="239" spans="7:7" ht="14.6" x14ac:dyDescent="0.4">
      <c r="G239" s="3"/>
    </row>
    <row r="240" spans="7:7" ht="14.6" x14ac:dyDescent="0.4">
      <c r="G240" s="3"/>
    </row>
    <row r="241" spans="7:7" ht="14.6" x14ac:dyDescent="0.4">
      <c r="G241" s="3"/>
    </row>
    <row r="242" spans="7:7" ht="14.6" x14ac:dyDescent="0.4">
      <c r="G242" s="3"/>
    </row>
    <row r="243" spans="7:7" ht="14.6" x14ac:dyDescent="0.4">
      <c r="G243" s="3"/>
    </row>
    <row r="244" spans="7:7" ht="14.6" x14ac:dyDescent="0.4">
      <c r="G244" s="3"/>
    </row>
    <row r="245" spans="7:7" ht="14.6" x14ac:dyDescent="0.4">
      <c r="G245" s="3"/>
    </row>
    <row r="246" spans="7:7" ht="14.6" x14ac:dyDescent="0.4">
      <c r="G246" s="3"/>
    </row>
    <row r="247" spans="7:7" ht="14.6" x14ac:dyDescent="0.4">
      <c r="G247" s="3"/>
    </row>
    <row r="248" spans="7:7" ht="14.6" x14ac:dyDescent="0.4">
      <c r="G248" s="3"/>
    </row>
    <row r="249" spans="7:7" ht="14.6" x14ac:dyDescent="0.4">
      <c r="G249" s="3"/>
    </row>
    <row r="250" spans="7:7" ht="14.6" x14ac:dyDescent="0.4">
      <c r="G250" s="3"/>
    </row>
    <row r="251" spans="7:7" ht="14.6" x14ac:dyDescent="0.4">
      <c r="G251" s="3"/>
    </row>
    <row r="252" spans="7:7" ht="14.6" x14ac:dyDescent="0.4">
      <c r="G252" s="3"/>
    </row>
    <row r="253" spans="7:7" ht="14.6" x14ac:dyDescent="0.4">
      <c r="G253" s="3"/>
    </row>
    <row r="254" spans="7:7" ht="14.6" x14ac:dyDescent="0.4">
      <c r="G254" s="3"/>
    </row>
    <row r="255" spans="7:7" ht="14.6" x14ac:dyDescent="0.4">
      <c r="G255" s="3"/>
    </row>
    <row r="256" spans="7:7" ht="14.6" x14ac:dyDescent="0.4">
      <c r="G256" s="3"/>
    </row>
    <row r="257" spans="7:7" ht="14.6" x14ac:dyDescent="0.4">
      <c r="G257" s="3"/>
    </row>
    <row r="258" spans="7:7" ht="14.6" x14ac:dyDescent="0.4">
      <c r="G258" s="3"/>
    </row>
    <row r="259" spans="7:7" ht="14.6" x14ac:dyDescent="0.4">
      <c r="G259" s="3"/>
    </row>
    <row r="260" spans="7:7" ht="14.6" x14ac:dyDescent="0.4">
      <c r="G260" s="3"/>
    </row>
    <row r="261" spans="7:7" ht="14.6" x14ac:dyDescent="0.4">
      <c r="G261" s="3"/>
    </row>
    <row r="262" spans="7:7" ht="14.6" x14ac:dyDescent="0.4">
      <c r="G262" s="3"/>
    </row>
    <row r="263" spans="7:7" ht="14.6" x14ac:dyDescent="0.4">
      <c r="G263" s="3"/>
    </row>
    <row r="264" spans="7:7" ht="14.6" x14ac:dyDescent="0.4">
      <c r="G264" s="3"/>
    </row>
    <row r="265" spans="7:7" ht="14.6" x14ac:dyDescent="0.4">
      <c r="G265" s="3"/>
    </row>
    <row r="266" spans="7:7" ht="14.6" x14ac:dyDescent="0.4">
      <c r="G266" s="3"/>
    </row>
    <row r="267" spans="7:7" ht="14.6" x14ac:dyDescent="0.4">
      <c r="G267" s="3"/>
    </row>
    <row r="268" spans="7:7" ht="14.6" x14ac:dyDescent="0.4">
      <c r="G268" s="3"/>
    </row>
    <row r="269" spans="7:7" ht="14.6" x14ac:dyDescent="0.4">
      <c r="G269" s="3"/>
    </row>
    <row r="270" spans="7:7" ht="14.6" x14ac:dyDescent="0.4">
      <c r="G270" s="3"/>
    </row>
    <row r="271" spans="7:7" ht="14.6" x14ac:dyDescent="0.4">
      <c r="G271" s="3"/>
    </row>
    <row r="272" spans="7:7" ht="14.6" x14ac:dyDescent="0.4">
      <c r="G272" s="3"/>
    </row>
    <row r="273" spans="7:7" ht="14.6" x14ac:dyDescent="0.4">
      <c r="G273" s="3"/>
    </row>
    <row r="274" spans="7:7" ht="14.6" x14ac:dyDescent="0.4">
      <c r="G274" s="3"/>
    </row>
    <row r="275" spans="7:7" ht="14.6" x14ac:dyDescent="0.4">
      <c r="G275" s="3"/>
    </row>
    <row r="276" spans="7:7" ht="14.6" x14ac:dyDescent="0.4">
      <c r="G276" s="3"/>
    </row>
    <row r="277" spans="7:7" ht="14.6" x14ac:dyDescent="0.4">
      <c r="G277" s="3"/>
    </row>
    <row r="278" spans="7:7" ht="14.6" x14ac:dyDescent="0.4">
      <c r="G278" s="3"/>
    </row>
    <row r="279" spans="7:7" ht="14.6" x14ac:dyDescent="0.4">
      <c r="G279" s="3"/>
    </row>
    <row r="280" spans="7:7" ht="14.6" x14ac:dyDescent="0.4">
      <c r="G280" s="3"/>
    </row>
    <row r="281" spans="7:7" ht="14.6" x14ac:dyDescent="0.4">
      <c r="G281" s="3"/>
    </row>
    <row r="282" spans="7:7" ht="14.6" x14ac:dyDescent="0.4">
      <c r="G282" s="3"/>
    </row>
    <row r="283" spans="7:7" ht="14.6" x14ac:dyDescent="0.4">
      <c r="G283" s="3"/>
    </row>
    <row r="284" spans="7:7" ht="14.6" x14ac:dyDescent="0.4">
      <c r="G284" s="3"/>
    </row>
    <row r="285" spans="7:7" ht="14.6" x14ac:dyDescent="0.4">
      <c r="G285" s="3"/>
    </row>
    <row r="286" spans="7:7" ht="14.6" x14ac:dyDescent="0.4">
      <c r="G286" s="3"/>
    </row>
    <row r="287" spans="7:7" ht="14.6" x14ac:dyDescent="0.4">
      <c r="G287" s="3"/>
    </row>
    <row r="288" spans="7:7" ht="14.6" x14ac:dyDescent="0.4">
      <c r="G288" s="3"/>
    </row>
    <row r="289" spans="7:7" ht="14.6" x14ac:dyDescent="0.4">
      <c r="G289" s="3"/>
    </row>
    <row r="290" spans="7:7" ht="14.6" x14ac:dyDescent="0.4">
      <c r="G290" s="3"/>
    </row>
    <row r="291" spans="7:7" ht="14.6" x14ac:dyDescent="0.4">
      <c r="G291" s="3"/>
    </row>
    <row r="292" spans="7:7" ht="14.6" x14ac:dyDescent="0.4">
      <c r="G292" s="3"/>
    </row>
    <row r="293" spans="7:7" ht="14.6" x14ac:dyDescent="0.4">
      <c r="G293" s="3"/>
    </row>
    <row r="294" spans="7:7" ht="14.6" x14ac:dyDescent="0.4">
      <c r="G294" s="3"/>
    </row>
    <row r="295" spans="7:7" ht="14.6" x14ac:dyDescent="0.4">
      <c r="G295" s="3"/>
    </row>
    <row r="296" spans="7:7" ht="14.6" x14ac:dyDescent="0.4">
      <c r="G296" s="3"/>
    </row>
    <row r="297" spans="7:7" ht="14.6" x14ac:dyDescent="0.4">
      <c r="G297" s="3"/>
    </row>
    <row r="298" spans="7:7" ht="14.6" x14ac:dyDescent="0.4">
      <c r="G298" s="3"/>
    </row>
    <row r="299" spans="7:7" ht="14.6" x14ac:dyDescent="0.4">
      <c r="G299" s="3"/>
    </row>
    <row r="300" spans="7:7" ht="14.6" x14ac:dyDescent="0.4">
      <c r="G300" s="3"/>
    </row>
    <row r="301" spans="7:7" ht="14.6" x14ac:dyDescent="0.4">
      <c r="G301" s="3"/>
    </row>
    <row r="302" spans="7:7" ht="14.6" x14ac:dyDescent="0.4">
      <c r="G302" s="3"/>
    </row>
    <row r="303" spans="7:7" ht="14.6" x14ac:dyDescent="0.4">
      <c r="G303" s="3"/>
    </row>
    <row r="304" spans="7:7" ht="14.6" x14ac:dyDescent="0.4">
      <c r="G304" s="3"/>
    </row>
    <row r="305" spans="7:7" ht="14.6" x14ac:dyDescent="0.4">
      <c r="G305" s="3"/>
    </row>
    <row r="306" spans="7:7" ht="14.6" x14ac:dyDescent="0.4">
      <c r="G306" s="3"/>
    </row>
    <row r="307" spans="7:7" ht="14.6" x14ac:dyDescent="0.4">
      <c r="G307" s="3"/>
    </row>
    <row r="308" spans="7:7" ht="14.6" x14ac:dyDescent="0.4">
      <c r="G308" s="3"/>
    </row>
    <row r="309" spans="7:7" ht="14.6" x14ac:dyDescent="0.4">
      <c r="G309" s="3"/>
    </row>
    <row r="310" spans="7:7" ht="14.6" x14ac:dyDescent="0.4">
      <c r="G310" s="3"/>
    </row>
    <row r="311" spans="7:7" ht="14.6" x14ac:dyDescent="0.4">
      <c r="G311" s="3"/>
    </row>
    <row r="312" spans="7:7" ht="14.6" x14ac:dyDescent="0.4">
      <c r="G312" s="3"/>
    </row>
    <row r="313" spans="7:7" ht="14.6" x14ac:dyDescent="0.4">
      <c r="G313" s="3"/>
    </row>
    <row r="314" spans="7:7" ht="14.6" x14ac:dyDescent="0.4">
      <c r="G314" s="3"/>
    </row>
    <row r="315" spans="7:7" ht="14.6" x14ac:dyDescent="0.4">
      <c r="G315" s="3"/>
    </row>
    <row r="316" spans="7:7" ht="14.6" x14ac:dyDescent="0.4">
      <c r="G316" s="3"/>
    </row>
    <row r="317" spans="7:7" ht="14.6" x14ac:dyDescent="0.4">
      <c r="G317" s="3"/>
    </row>
    <row r="318" spans="7:7" ht="14.6" x14ac:dyDescent="0.4">
      <c r="G318" s="3"/>
    </row>
    <row r="319" spans="7:7" ht="14.6" x14ac:dyDescent="0.4">
      <c r="G319" s="3"/>
    </row>
    <row r="320" spans="7:7" ht="14.6" x14ac:dyDescent="0.4">
      <c r="G320" s="3"/>
    </row>
    <row r="321" spans="7:7" ht="14.6" x14ac:dyDescent="0.4">
      <c r="G321" s="3"/>
    </row>
    <row r="322" spans="7:7" ht="14.6" x14ac:dyDescent="0.4">
      <c r="G322" s="3"/>
    </row>
    <row r="323" spans="7:7" ht="14.6" x14ac:dyDescent="0.4">
      <c r="G323" s="3"/>
    </row>
    <row r="324" spans="7:7" ht="14.6" x14ac:dyDescent="0.4">
      <c r="G324" s="3"/>
    </row>
    <row r="325" spans="7:7" ht="14.6" x14ac:dyDescent="0.4">
      <c r="G325" s="3"/>
    </row>
    <row r="326" spans="7:7" ht="14.6" x14ac:dyDescent="0.4">
      <c r="G326" s="3"/>
    </row>
    <row r="327" spans="7:7" ht="14.6" x14ac:dyDescent="0.4">
      <c r="G327" s="3"/>
    </row>
    <row r="328" spans="7:7" ht="14.6" x14ac:dyDescent="0.4">
      <c r="G328" s="3"/>
    </row>
    <row r="329" spans="7:7" ht="14.6" x14ac:dyDescent="0.4">
      <c r="G329" s="3"/>
    </row>
    <row r="330" spans="7:7" ht="14.6" x14ac:dyDescent="0.4">
      <c r="G330" s="3"/>
    </row>
    <row r="331" spans="7:7" ht="14.6" x14ac:dyDescent="0.4">
      <c r="G331" s="3"/>
    </row>
    <row r="332" spans="7:7" ht="14.6" x14ac:dyDescent="0.4">
      <c r="G332" s="3"/>
    </row>
    <row r="333" spans="7:7" ht="14.6" x14ac:dyDescent="0.4">
      <c r="G333" s="3"/>
    </row>
    <row r="334" spans="7:7" ht="14.6" x14ac:dyDescent="0.4">
      <c r="G334" s="3"/>
    </row>
    <row r="335" spans="7:7" ht="14.6" x14ac:dyDescent="0.4">
      <c r="G335" s="3"/>
    </row>
    <row r="336" spans="7:7" ht="14.6" x14ac:dyDescent="0.4">
      <c r="G336" s="3"/>
    </row>
    <row r="337" spans="7:7" ht="14.6" x14ac:dyDescent="0.4">
      <c r="G337" s="3"/>
    </row>
    <row r="338" spans="7:7" ht="14.6" x14ac:dyDescent="0.4">
      <c r="G338" s="3"/>
    </row>
    <row r="339" spans="7:7" ht="14.6" x14ac:dyDescent="0.4">
      <c r="G339" s="3"/>
    </row>
    <row r="340" spans="7:7" ht="14.6" x14ac:dyDescent="0.4">
      <c r="G340" s="3"/>
    </row>
    <row r="341" spans="7:7" ht="14.6" x14ac:dyDescent="0.4">
      <c r="G341" s="3"/>
    </row>
    <row r="342" spans="7:7" ht="14.6" x14ac:dyDescent="0.4">
      <c r="G342" s="3"/>
    </row>
    <row r="343" spans="7:7" ht="14.6" x14ac:dyDescent="0.4">
      <c r="G343" s="3"/>
    </row>
    <row r="344" spans="7:7" ht="14.6" x14ac:dyDescent="0.4">
      <c r="G344" s="3"/>
    </row>
    <row r="345" spans="7:7" ht="14.6" x14ac:dyDescent="0.4">
      <c r="G345" s="3"/>
    </row>
    <row r="346" spans="7:7" ht="14.6" x14ac:dyDescent="0.4">
      <c r="G346" s="3"/>
    </row>
    <row r="347" spans="7:7" ht="14.6" x14ac:dyDescent="0.4">
      <c r="G347" s="3"/>
    </row>
    <row r="348" spans="7:7" ht="14.6" x14ac:dyDescent="0.4">
      <c r="G348" s="3"/>
    </row>
    <row r="349" spans="7:7" ht="14.6" x14ac:dyDescent="0.4">
      <c r="G349" s="3"/>
    </row>
    <row r="350" spans="7:7" ht="14.6" x14ac:dyDescent="0.4">
      <c r="G350" s="3"/>
    </row>
    <row r="351" spans="7:7" ht="14.6" x14ac:dyDescent="0.4">
      <c r="G351" s="3"/>
    </row>
    <row r="352" spans="7:7" ht="14.6" x14ac:dyDescent="0.4">
      <c r="G352" s="3"/>
    </row>
    <row r="353" spans="7:7" ht="14.6" x14ac:dyDescent="0.4">
      <c r="G353" s="3"/>
    </row>
    <row r="354" spans="7:7" ht="14.6" x14ac:dyDescent="0.4">
      <c r="G354" s="3"/>
    </row>
    <row r="355" spans="7:7" ht="14.6" x14ac:dyDescent="0.4">
      <c r="G355" s="3"/>
    </row>
    <row r="356" spans="7:7" ht="14.6" x14ac:dyDescent="0.4">
      <c r="G356" s="3"/>
    </row>
    <row r="357" spans="7:7" ht="14.6" x14ac:dyDescent="0.4">
      <c r="G357" s="3"/>
    </row>
    <row r="358" spans="7:7" ht="14.6" x14ac:dyDescent="0.4">
      <c r="G358" s="3"/>
    </row>
    <row r="359" spans="7:7" ht="14.6" x14ac:dyDescent="0.4">
      <c r="G359" s="3"/>
    </row>
    <row r="360" spans="7:7" ht="14.6" x14ac:dyDescent="0.4">
      <c r="G360" s="3"/>
    </row>
    <row r="361" spans="7:7" ht="14.6" x14ac:dyDescent="0.4">
      <c r="G361" s="3"/>
    </row>
    <row r="362" spans="7:7" ht="14.6" x14ac:dyDescent="0.4">
      <c r="G362" s="3"/>
    </row>
    <row r="363" spans="7:7" ht="14.6" x14ac:dyDescent="0.4">
      <c r="G363" s="3"/>
    </row>
    <row r="364" spans="7:7" ht="14.6" x14ac:dyDescent="0.4">
      <c r="G364" s="3"/>
    </row>
    <row r="365" spans="7:7" ht="14.6" x14ac:dyDescent="0.4">
      <c r="G365" s="3"/>
    </row>
    <row r="366" spans="7:7" ht="14.6" x14ac:dyDescent="0.4">
      <c r="G366" s="3"/>
    </row>
    <row r="367" spans="7:7" ht="14.6" x14ac:dyDescent="0.4">
      <c r="G367" s="3"/>
    </row>
    <row r="368" spans="7:7" ht="14.6" x14ac:dyDescent="0.4">
      <c r="G368" s="3"/>
    </row>
    <row r="369" spans="7:7" ht="14.6" x14ac:dyDescent="0.4">
      <c r="G369" s="3"/>
    </row>
    <row r="370" spans="7:7" ht="14.6" x14ac:dyDescent="0.4">
      <c r="G370" s="3"/>
    </row>
    <row r="371" spans="7:7" ht="14.6" x14ac:dyDescent="0.4">
      <c r="G371" s="3"/>
    </row>
    <row r="372" spans="7:7" ht="14.6" x14ac:dyDescent="0.4">
      <c r="G372" s="3"/>
    </row>
    <row r="373" spans="7:7" ht="14.6" x14ac:dyDescent="0.4">
      <c r="G373" s="3"/>
    </row>
    <row r="374" spans="7:7" ht="14.6" x14ac:dyDescent="0.4">
      <c r="G374" s="3"/>
    </row>
    <row r="375" spans="7:7" ht="14.6" x14ac:dyDescent="0.4">
      <c r="G375" s="3"/>
    </row>
    <row r="376" spans="7:7" ht="14.6" x14ac:dyDescent="0.4">
      <c r="G376" s="3"/>
    </row>
    <row r="377" spans="7:7" ht="14.6" x14ac:dyDescent="0.4">
      <c r="G377" s="3"/>
    </row>
    <row r="378" spans="7:7" ht="14.6" x14ac:dyDescent="0.4">
      <c r="G378" s="3"/>
    </row>
    <row r="379" spans="7:7" ht="14.6" x14ac:dyDescent="0.4">
      <c r="G379" s="3"/>
    </row>
    <row r="380" spans="7:7" ht="14.6" x14ac:dyDescent="0.4">
      <c r="G380" s="3"/>
    </row>
    <row r="381" spans="7:7" ht="14.6" x14ac:dyDescent="0.4">
      <c r="G381" s="3"/>
    </row>
    <row r="382" spans="7:7" ht="14.6" x14ac:dyDescent="0.4">
      <c r="G382" s="3"/>
    </row>
    <row r="383" spans="7:7" ht="14.6" x14ac:dyDescent="0.4">
      <c r="G383" s="3"/>
    </row>
    <row r="384" spans="7:7" ht="14.6" x14ac:dyDescent="0.4">
      <c r="G384" s="3"/>
    </row>
    <row r="385" spans="7:7" ht="14.6" x14ac:dyDescent="0.4">
      <c r="G385" s="3"/>
    </row>
    <row r="386" spans="7:7" ht="14.6" x14ac:dyDescent="0.4">
      <c r="G386" s="3"/>
    </row>
    <row r="387" spans="7:7" ht="14.6" x14ac:dyDescent="0.4">
      <c r="G387" s="3"/>
    </row>
    <row r="388" spans="7:7" ht="14.6" x14ac:dyDescent="0.4">
      <c r="G388" s="3"/>
    </row>
    <row r="389" spans="7:7" ht="14.6" x14ac:dyDescent="0.4">
      <c r="G389" s="3"/>
    </row>
    <row r="390" spans="7:7" ht="14.6" x14ac:dyDescent="0.4">
      <c r="G390" s="3"/>
    </row>
    <row r="391" spans="7:7" ht="14.6" x14ac:dyDescent="0.4">
      <c r="G391" s="3"/>
    </row>
    <row r="392" spans="7:7" ht="14.6" x14ac:dyDescent="0.4">
      <c r="G392" s="3"/>
    </row>
    <row r="393" spans="7:7" ht="14.6" x14ac:dyDescent="0.4">
      <c r="G393" s="3"/>
    </row>
    <row r="394" spans="7:7" ht="14.6" x14ac:dyDescent="0.4">
      <c r="G394" s="3"/>
    </row>
    <row r="395" spans="7:7" ht="14.6" x14ac:dyDescent="0.4">
      <c r="G395" s="3"/>
    </row>
    <row r="396" spans="7:7" ht="14.6" x14ac:dyDescent="0.4">
      <c r="G396" s="3"/>
    </row>
    <row r="397" spans="7:7" ht="14.6" x14ac:dyDescent="0.4">
      <c r="G397" s="3"/>
    </row>
    <row r="398" spans="7:7" ht="14.6" x14ac:dyDescent="0.4">
      <c r="G398" s="3"/>
    </row>
    <row r="399" spans="7:7" ht="14.6" x14ac:dyDescent="0.4">
      <c r="G399" s="3"/>
    </row>
    <row r="400" spans="7:7" ht="14.6" x14ac:dyDescent="0.4">
      <c r="G400" s="3"/>
    </row>
    <row r="401" spans="7:7" ht="14.6" x14ac:dyDescent="0.4">
      <c r="G401" s="3"/>
    </row>
    <row r="402" spans="7:7" ht="14.6" x14ac:dyDescent="0.4">
      <c r="G402" s="3"/>
    </row>
    <row r="403" spans="7:7" ht="14.6" x14ac:dyDescent="0.4">
      <c r="G403" s="3"/>
    </row>
    <row r="404" spans="7:7" ht="14.6" x14ac:dyDescent="0.4">
      <c r="G404" s="3"/>
    </row>
    <row r="405" spans="7:7" ht="14.6" x14ac:dyDescent="0.4">
      <c r="G405" s="3"/>
    </row>
    <row r="406" spans="7:7" ht="14.6" x14ac:dyDescent="0.4">
      <c r="G406" s="3"/>
    </row>
    <row r="407" spans="7:7" ht="14.6" x14ac:dyDescent="0.4">
      <c r="G407" s="3"/>
    </row>
    <row r="408" spans="7:7" ht="14.6" x14ac:dyDescent="0.4">
      <c r="G408" s="3"/>
    </row>
    <row r="409" spans="7:7" ht="14.6" x14ac:dyDescent="0.4">
      <c r="G409" s="3"/>
    </row>
    <row r="410" spans="7:7" ht="14.6" x14ac:dyDescent="0.4">
      <c r="G410" s="3"/>
    </row>
    <row r="411" spans="7:7" ht="14.6" x14ac:dyDescent="0.4">
      <c r="G411" s="3"/>
    </row>
    <row r="412" spans="7:7" ht="14.6" x14ac:dyDescent="0.4">
      <c r="G412" s="3"/>
    </row>
    <row r="413" spans="7:7" ht="14.6" x14ac:dyDescent="0.4">
      <c r="G413" s="3"/>
    </row>
    <row r="414" spans="7:7" ht="14.6" x14ac:dyDescent="0.4">
      <c r="G414" s="3"/>
    </row>
    <row r="415" spans="7:7" ht="14.6" x14ac:dyDescent="0.4">
      <c r="G415" s="3"/>
    </row>
    <row r="416" spans="7:7" ht="14.6" x14ac:dyDescent="0.4">
      <c r="G416" s="3"/>
    </row>
    <row r="417" spans="7:7" ht="14.6" x14ac:dyDescent="0.4">
      <c r="G417" s="3"/>
    </row>
    <row r="418" spans="7:7" ht="14.6" x14ac:dyDescent="0.4">
      <c r="G418" s="3"/>
    </row>
    <row r="419" spans="7:7" ht="14.6" x14ac:dyDescent="0.4">
      <c r="G419" s="3"/>
    </row>
    <row r="420" spans="7:7" ht="14.6" x14ac:dyDescent="0.4">
      <c r="G420" s="3"/>
    </row>
    <row r="421" spans="7:7" ht="14.6" x14ac:dyDescent="0.4">
      <c r="G421" s="3"/>
    </row>
    <row r="422" spans="7:7" ht="14.6" x14ac:dyDescent="0.4">
      <c r="G422" s="3"/>
    </row>
    <row r="423" spans="7:7" ht="14.6" x14ac:dyDescent="0.4">
      <c r="G423" s="3"/>
    </row>
    <row r="424" spans="7:7" ht="14.6" x14ac:dyDescent="0.4">
      <c r="G424" s="3"/>
    </row>
    <row r="425" spans="7:7" ht="14.6" x14ac:dyDescent="0.4">
      <c r="G425" s="3"/>
    </row>
    <row r="426" spans="7:7" ht="14.6" x14ac:dyDescent="0.4">
      <c r="G426" s="3"/>
    </row>
    <row r="427" spans="7:7" ht="14.6" x14ac:dyDescent="0.4">
      <c r="G427" s="3"/>
    </row>
    <row r="428" spans="7:7" ht="14.6" x14ac:dyDescent="0.4">
      <c r="G428" s="3"/>
    </row>
    <row r="429" spans="7:7" ht="14.6" x14ac:dyDescent="0.4">
      <c r="G429" s="3"/>
    </row>
    <row r="430" spans="7:7" ht="14.6" x14ac:dyDescent="0.4">
      <c r="G430" s="3"/>
    </row>
    <row r="431" spans="7:7" ht="14.6" x14ac:dyDescent="0.4">
      <c r="G431" s="3"/>
    </row>
    <row r="432" spans="7:7" ht="14.6" x14ac:dyDescent="0.4">
      <c r="G432" s="3"/>
    </row>
    <row r="433" spans="7:7" ht="14.6" x14ac:dyDescent="0.4">
      <c r="G433" s="3"/>
    </row>
    <row r="434" spans="7:7" ht="14.6" x14ac:dyDescent="0.4">
      <c r="G434" s="3"/>
    </row>
    <row r="435" spans="7:7" ht="14.6" x14ac:dyDescent="0.4">
      <c r="G435" s="3"/>
    </row>
    <row r="436" spans="7:7" ht="14.6" x14ac:dyDescent="0.4">
      <c r="G436" s="3"/>
    </row>
    <row r="437" spans="7:7" ht="14.6" x14ac:dyDescent="0.4">
      <c r="G437" s="3"/>
    </row>
    <row r="438" spans="7:7" ht="14.6" x14ac:dyDescent="0.4">
      <c r="G438" s="3"/>
    </row>
    <row r="439" spans="7:7" ht="14.6" x14ac:dyDescent="0.4">
      <c r="G439" s="3"/>
    </row>
    <row r="440" spans="7:7" ht="14.6" x14ac:dyDescent="0.4">
      <c r="G440" s="3"/>
    </row>
    <row r="441" spans="7:7" ht="14.6" x14ac:dyDescent="0.4">
      <c r="G441" s="3"/>
    </row>
    <row r="442" spans="7:7" ht="14.6" x14ac:dyDescent="0.4">
      <c r="G442" s="3"/>
    </row>
    <row r="443" spans="7:7" ht="14.6" x14ac:dyDescent="0.4">
      <c r="G443" s="3"/>
    </row>
    <row r="444" spans="7:7" ht="14.6" x14ac:dyDescent="0.4">
      <c r="G444" s="3"/>
    </row>
    <row r="445" spans="7:7" ht="14.6" x14ac:dyDescent="0.4">
      <c r="G445" s="3"/>
    </row>
    <row r="446" spans="7:7" ht="14.6" x14ac:dyDescent="0.4">
      <c r="G446" s="3"/>
    </row>
    <row r="447" spans="7:7" ht="14.6" x14ac:dyDescent="0.4">
      <c r="G447" s="3"/>
    </row>
    <row r="448" spans="7:7" ht="14.6" x14ac:dyDescent="0.4">
      <c r="G448" s="3"/>
    </row>
    <row r="449" spans="7:7" ht="14.6" x14ac:dyDescent="0.4">
      <c r="G449" s="3"/>
    </row>
    <row r="450" spans="7:7" ht="14.6" x14ac:dyDescent="0.4">
      <c r="G450" s="3"/>
    </row>
    <row r="451" spans="7:7" ht="14.6" x14ac:dyDescent="0.4">
      <c r="G451" s="3"/>
    </row>
    <row r="452" spans="7:7" ht="14.6" x14ac:dyDescent="0.4">
      <c r="G452" s="3"/>
    </row>
    <row r="453" spans="7:7" ht="14.6" x14ac:dyDescent="0.4">
      <c r="G453" s="3"/>
    </row>
    <row r="454" spans="7:7" ht="14.6" x14ac:dyDescent="0.4">
      <c r="G454" s="3"/>
    </row>
    <row r="455" spans="7:7" ht="14.6" x14ac:dyDescent="0.4">
      <c r="G455" s="3"/>
    </row>
    <row r="456" spans="7:7" ht="14.6" x14ac:dyDescent="0.4">
      <c r="G456" s="3"/>
    </row>
    <row r="457" spans="7:7" ht="14.6" x14ac:dyDescent="0.4">
      <c r="G457" s="3"/>
    </row>
    <row r="458" spans="7:7" ht="14.6" x14ac:dyDescent="0.4">
      <c r="G458" s="3"/>
    </row>
    <row r="459" spans="7:7" ht="14.6" x14ac:dyDescent="0.4">
      <c r="G459" s="3"/>
    </row>
    <row r="460" spans="7:7" ht="14.6" x14ac:dyDescent="0.4">
      <c r="G460" s="3"/>
    </row>
    <row r="461" spans="7:7" ht="14.6" x14ac:dyDescent="0.4">
      <c r="G461" s="3"/>
    </row>
    <row r="462" spans="7:7" ht="14.6" x14ac:dyDescent="0.4">
      <c r="G462" s="3"/>
    </row>
    <row r="463" spans="7:7" ht="14.6" x14ac:dyDescent="0.4">
      <c r="G463" s="3"/>
    </row>
    <row r="464" spans="7:7" ht="14.6" x14ac:dyDescent="0.4">
      <c r="G464" s="3"/>
    </row>
    <row r="465" spans="7:7" ht="14.6" x14ac:dyDescent="0.4">
      <c r="G465" s="3"/>
    </row>
    <row r="466" spans="7:7" ht="14.6" x14ac:dyDescent="0.4">
      <c r="G466" s="3"/>
    </row>
    <row r="467" spans="7:7" ht="14.6" x14ac:dyDescent="0.4">
      <c r="G467" s="3"/>
    </row>
    <row r="468" spans="7:7" ht="14.6" x14ac:dyDescent="0.4">
      <c r="G468" s="3"/>
    </row>
    <row r="469" spans="7:7" ht="14.6" x14ac:dyDescent="0.4">
      <c r="G469" s="3"/>
    </row>
    <row r="470" spans="7:7" ht="14.6" x14ac:dyDescent="0.4">
      <c r="G470" s="3"/>
    </row>
    <row r="471" spans="7:7" ht="14.6" x14ac:dyDescent="0.4">
      <c r="G471" s="3"/>
    </row>
    <row r="472" spans="7:7" ht="14.6" x14ac:dyDescent="0.4">
      <c r="G472" s="3"/>
    </row>
    <row r="473" spans="7:7" ht="14.6" x14ac:dyDescent="0.4">
      <c r="G473" s="3"/>
    </row>
    <row r="474" spans="7:7" ht="14.6" x14ac:dyDescent="0.4">
      <c r="G474" s="3"/>
    </row>
    <row r="475" spans="7:7" ht="14.6" x14ac:dyDescent="0.4">
      <c r="G475" s="3"/>
    </row>
    <row r="476" spans="7:7" ht="14.6" x14ac:dyDescent="0.4">
      <c r="G476" s="3"/>
    </row>
    <row r="477" spans="7:7" ht="14.6" x14ac:dyDescent="0.4">
      <c r="G477" s="3"/>
    </row>
    <row r="478" spans="7:7" ht="14.6" x14ac:dyDescent="0.4">
      <c r="G478" s="3"/>
    </row>
    <row r="479" spans="7:7" ht="14.6" x14ac:dyDescent="0.4">
      <c r="G479" s="3"/>
    </row>
    <row r="480" spans="7:7" ht="14.6" x14ac:dyDescent="0.4">
      <c r="G480" s="3"/>
    </row>
    <row r="481" spans="7:7" ht="14.6" x14ac:dyDescent="0.4">
      <c r="G481" s="3"/>
    </row>
    <row r="482" spans="7:7" ht="14.6" x14ac:dyDescent="0.4">
      <c r="G482" s="3"/>
    </row>
    <row r="483" spans="7:7" ht="14.6" x14ac:dyDescent="0.4">
      <c r="G483" s="3"/>
    </row>
    <row r="484" spans="7:7" ht="14.6" x14ac:dyDescent="0.4">
      <c r="G484" s="3"/>
    </row>
    <row r="485" spans="7:7" ht="14.6" x14ac:dyDescent="0.4">
      <c r="G485" s="3"/>
    </row>
    <row r="486" spans="7:7" ht="14.6" x14ac:dyDescent="0.4">
      <c r="G486" s="3"/>
    </row>
    <row r="487" spans="7:7" ht="14.6" x14ac:dyDescent="0.4">
      <c r="G487" s="3"/>
    </row>
    <row r="488" spans="7:7" ht="14.6" x14ac:dyDescent="0.4">
      <c r="G488" s="3"/>
    </row>
    <row r="489" spans="7:7" ht="14.6" x14ac:dyDescent="0.4">
      <c r="G489" s="3"/>
    </row>
    <row r="490" spans="7:7" ht="14.6" x14ac:dyDescent="0.4">
      <c r="G490" s="3"/>
    </row>
    <row r="491" spans="7:7" ht="14.6" x14ac:dyDescent="0.4">
      <c r="G491" s="3"/>
    </row>
    <row r="492" spans="7:7" ht="14.6" x14ac:dyDescent="0.4">
      <c r="G492" s="3"/>
    </row>
    <row r="493" spans="7:7" ht="14.6" x14ac:dyDescent="0.4">
      <c r="G493" s="3"/>
    </row>
    <row r="494" spans="7:7" ht="14.6" x14ac:dyDescent="0.4">
      <c r="G494" s="3"/>
    </row>
    <row r="495" spans="7:7" ht="14.6" x14ac:dyDescent="0.4">
      <c r="G495" s="3"/>
    </row>
    <row r="496" spans="7:7" ht="14.6" x14ac:dyDescent="0.4">
      <c r="G496" s="3"/>
    </row>
    <row r="497" spans="7:7" ht="14.6" x14ac:dyDescent="0.4">
      <c r="G497" s="3"/>
    </row>
    <row r="498" spans="7:7" ht="14.6" x14ac:dyDescent="0.4">
      <c r="G498" s="3"/>
    </row>
    <row r="499" spans="7:7" ht="14.6" x14ac:dyDescent="0.4">
      <c r="G499" s="3"/>
    </row>
    <row r="500" spans="7:7" ht="14.6" x14ac:dyDescent="0.4">
      <c r="G500" s="3"/>
    </row>
    <row r="501" spans="7:7" ht="14.6" x14ac:dyDescent="0.4">
      <c r="G501" s="3"/>
    </row>
    <row r="502" spans="7:7" ht="14.6" x14ac:dyDescent="0.4">
      <c r="G502" s="3"/>
    </row>
    <row r="503" spans="7:7" ht="14.6" x14ac:dyDescent="0.4">
      <c r="G503" s="3"/>
    </row>
    <row r="504" spans="7:7" ht="14.6" x14ac:dyDescent="0.4">
      <c r="G504" s="3"/>
    </row>
    <row r="505" spans="7:7" ht="14.6" x14ac:dyDescent="0.4">
      <c r="G505" s="3"/>
    </row>
    <row r="506" spans="7:7" ht="14.6" x14ac:dyDescent="0.4">
      <c r="G506" s="3"/>
    </row>
    <row r="507" spans="7:7" ht="14.6" x14ac:dyDescent="0.4">
      <c r="G507" s="3"/>
    </row>
    <row r="508" spans="7:7" ht="14.6" x14ac:dyDescent="0.4">
      <c r="G508" s="3"/>
    </row>
    <row r="509" spans="7:7" ht="14.6" x14ac:dyDescent="0.4">
      <c r="G509" s="3"/>
    </row>
    <row r="510" spans="7:7" ht="14.6" x14ac:dyDescent="0.4">
      <c r="G510" s="3"/>
    </row>
    <row r="511" spans="7:7" ht="14.6" x14ac:dyDescent="0.4">
      <c r="G511" s="3"/>
    </row>
    <row r="512" spans="7:7" ht="14.6" x14ac:dyDescent="0.4">
      <c r="G512" s="3"/>
    </row>
    <row r="513" spans="7:7" ht="14.6" x14ac:dyDescent="0.4">
      <c r="G513" s="3"/>
    </row>
    <row r="514" spans="7:7" ht="14.6" x14ac:dyDescent="0.4">
      <c r="G514" s="3"/>
    </row>
    <row r="515" spans="7:7" ht="14.6" x14ac:dyDescent="0.4">
      <c r="G515" s="3"/>
    </row>
    <row r="516" spans="7:7" ht="14.6" x14ac:dyDescent="0.4">
      <c r="G516" s="3"/>
    </row>
    <row r="517" spans="7:7" ht="14.6" x14ac:dyDescent="0.4">
      <c r="G517" s="3"/>
    </row>
    <row r="518" spans="7:7" ht="14.6" x14ac:dyDescent="0.4">
      <c r="G518" s="3"/>
    </row>
    <row r="519" spans="7:7" ht="14.6" x14ac:dyDescent="0.4">
      <c r="G519" s="3"/>
    </row>
    <row r="520" spans="7:7" ht="14.6" x14ac:dyDescent="0.4">
      <c r="G520" s="3"/>
    </row>
    <row r="521" spans="7:7" ht="14.6" x14ac:dyDescent="0.4">
      <c r="G521" s="3"/>
    </row>
    <row r="522" spans="7:7" ht="14.6" x14ac:dyDescent="0.4">
      <c r="G522" s="3"/>
    </row>
    <row r="523" spans="7:7" ht="14.6" x14ac:dyDescent="0.4">
      <c r="G523" s="3"/>
    </row>
    <row r="524" spans="7:7" ht="14.6" x14ac:dyDescent="0.4">
      <c r="G524" s="3"/>
    </row>
    <row r="525" spans="7:7" ht="14.6" x14ac:dyDescent="0.4">
      <c r="G525" s="3"/>
    </row>
    <row r="526" spans="7:7" ht="14.6" x14ac:dyDescent="0.4">
      <c r="G526" s="3"/>
    </row>
    <row r="527" spans="7:7" ht="14.6" x14ac:dyDescent="0.4">
      <c r="G527" s="3"/>
    </row>
    <row r="528" spans="7:7" ht="14.6" x14ac:dyDescent="0.4">
      <c r="G528" s="3"/>
    </row>
    <row r="529" spans="7:7" ht="14.6" x14ac:dyDescent="0.4">
      <c r="G529" s="3"/>
    </row>
    <row r="530" spans="7:7" ht="14.6" x14ac:dyDescent="0.4">
      <c r="G530" s="3"/>
    </row>
    <row r="531" spans="7:7" ht="14.6" x14ac:dyDescent="0.4">
      <c r="G531" s="3"/>
    </row>
    <row r="532" spans="7:7" ht="14.6" x14ac:dyDescent="0.4">
      <c r="G532" s="3"/>
    </row>
    <row r="533" spans="7:7" ht="14.6" x14ac:dyDescent="0.4">
      <c r="G533" s="3"/>
    </row>
    <row r="534" spans="7:7" ht="14.6" x14ac:dyDescent="0.4">
      <c r="G534" s="3"/>
    </row>
    <row r="535" spans="7:7" ht="14.6" x14ac:dyDescent="0.4">
      <c r="G535" s="3"/>
    </row>
    <row r="536" spans="7:7" ht="14.6" x14ac:dyDescent="0.4">
      <c r="G536" s="3"/>
    </row>
    <row r="537" spans="7:7" ht="14.6" x14ac:dyDescent="0.4">
      <c r="G537" s="3"/>
    </row>
    <row r="538" spans="7:7" ht="14.6" x14ac:dyDescent="0.4">
      <c r="G538" s="3"/>
    </row>
    <row r="539" spans="7:7" ht="14.6" x14ac:dyDescent="0.4">
      <c r="G539" s="3"/>
    </row>
    <row r="540" spans="7:7" ht="14.6" x14ac:dyDescent="0.4">
      <c r="G540" s="3"/>
    </row>
    <row r="541" spans="7:7" ht="14.6" x14ac:dyDescent="0.4">
      <c r="G541" s="3"/>
    </row>
    <row r="542" spans="7:7" ht="14.6" x14ac:dyDescent="0.4">
      <c r="G542" s="3"/>
    </row>
    <row r="543" spans="7:7" ht="14.6" x14ac:dyDescent="0.4">
      <c r="G543" s="3"/>
    </row>
    <row r="544" spans="7:7" ht="14.6" x14ac:dyDescent="0.4">
      <c r="G544" s="3"/>
    </row>
    <row r="545" spans="7:7" ht="14.6" x14ac:dyDescent="0.4">
      <c r="G545" s="3"/>
    </row>
    <row r="546" spans="7:7" ht="14.6" x14ac:dyDescent="0.4">
      <c r="G546" s="3"/>
    </row>
    <row r="547" spans="7:7" ht="14.6" x14ac:dyDescent="0.4">
      <c r="G547" s="3"/>
    </row>
    <row r="548" spans="7:7" ht="14.6" x14ac:dyDescent="0.4">
      <c r="G548" s="3"/>
    </row>
    <row r="549" spans="7:7" ht="14.6" x14ac:dyDescent="0.4">
      <c r="G549" s="3"/>
    </row>
    <row r="550" spans="7:7" ht="14.6" x14ac:dyDescent="0.4">
      <c r="G550" s="3"/>
    </row>
    <row r="551" spans="7:7" ht="14.6" x14ac:dyDescent="0.4">
      <c r="G551" s="3"/>
    </row>
    <row r="552" spans="7:7" ht="14.6" x14ac:dyDescent="0.4">
      <c r="G552" s="3"/>
    </row>
    <row r="553" spans="7:7" ht="14.6" x14ac:dyDescent="0.4">
      <c r="G553" s="3"/>
    </row>
    <row r="554" spans="7:7" ht="14.6" x14ac:dyDescent="0.4">
      <c r="G554" s="3"/>
    </row>
    <row r="555" spans="7:7" ht="14.6" x14ac:dyDescent="0.4">
      <c r="G555" s="3"/>
    </row>
    <row r="556" spans="7:7" ht="14.6" x14ac:dyDescent="0.4">
      <c r="G556" s="3"/>
    </row>
    <row r="557" spans="7:7" ht="14.6" x14ac:dyDescent="0.4">
      <c r="G557" s="3"/>
    </row>
    <row r="558" spans="7:7" ht="14.6" x14ac:dyDescent="0.4">
      <c r="G558" s="3"/>
    </row>
    <row r="559" spans="7:7" ht="14.6" x14ac:dyDescent="0.4">
      <c r="G559" s="3"/>
    </row>
    <row r="560" spans="7:7" ht="14.6" x14ac:dyDescent="0.4">
      <c r="G560" s="3"/>
    </row>
    <row r="561" spans="7:7" ht="14.6" x14ac:dyDescent="0.4">
      <c r="G561" s="3"/>
    </row>
    <row r="562" spans="7:7" ht="14.6" x14ac:dyDescent="0.4">
      <c r="G562" s="3"/>
    </row>
    <row r="563" spans="7:7" ht="14.6" x14ac:dyDescent="0.4">
      <c r="G563" s="3"/>
    </row>
    <row r="564" spans="7:7" ht="14.6" x14ac:dyDescent="0.4">
      <c r="G564" s="3"/>
    </row>
    <row r="565" spans="7:7" ht="14.6" x14ac:dyDescent="0.4">
      <c r="G565" s="3"/>
    </row>
    <row r="566" spans="7:7" ht="14.6" x14ac:dyDescent="0.4">
      <c r="G566" s="3"/>
    </row>
    <row r="567" spans="7:7" ht="14.6" x14ac:dyDescent="0.4">
      <c r="G567" s="3"/>
    </row>
    <row r="568" spans="7:7" ht="14.6" x14ac:dyDescent="0.4">
      <c r="G568" s="3"/>
    </row>
    <row r="569" spans="7:7" ht="14.6" x14ac:dyDescent="0.4">
      <c r="G569" s="3"/>
    </row>
    <row r="570" spans="7:7" ht="14.6" x14ac:dyDescent="0.4">
      <c r="G570" s="3"/>
    </row>
    <row r="571" spans="7:7" ht="14.6" x14ac:dyDescent="0.4">
      <c r="G571" s="3"/>
    </row>
    <row r="572" spans="7:7" ht="14.6" x14ac:dyDescent="0.4">
      <c r="G572" s="3"/>
    </row>
    <row r="573" spans="7:7" ht="14.6" x14ac:dyDescent="0.4">
      <c r="G573" s="3"/>
    </row>
    <row r="574" spans="7:7" ht="14.6" x14ac:dyDescent="0.4">
      <c r="G574" s="3"/>
    </row>
    <row r="575" spans="7:7" ht="14.6" x14ac:dyDescent="0.4">
      <c r="G575" s="3"/>
    </row>
    <row r="576" spans="7:7" ht="14.6" x14ac:dyDescent="0.4">
      <c r="G576" s="3"/>
    </row>
    <row r="577" spans="7:7" ht="14.6" x14ac:dyDescent="0.4">
      <c r="G577" s="3"/>
    </row>
    <row r="578" spans="7:7" ht="14.6" x14ac:dyDescent="0.4">
      <c r="G578" s="3"/>
    </row>
    <row r="579" spans="7:7" ht="14.6" x14ac:dyDescent="0.4">
      <c r="G579" s="3"/>
    </row>
    <row r="580" spans="7:7" ht="14.6" x14ac:dyDescent="0.4">
      <c r="G580" s="3"/>
    </row>
    <row r="581" spans="7:7" ht="14.6" x14ac:dyDescent="0.4">
      <c r="G581" s="3"/>
    </row>
    <row r="582" spans="7:7" ht="14.6" x14ac:dyDescent="0.4">
      <c r="G582" s="3"/>
    </row>
    <row r="583" spans="7:7" ht="14.6" x14ac:dyDescent="0.4">
      <c r="G583" s="3"/>
    </row>
    <row r="584" spans="7:7" ht="14.6" x14ac:dyDescent="0.4">
      <c r="G584" s="3"/>
    </row>
    <row r="585" spans="7:7" ht="14.6" x14ac:dyDescent="0.4">
      <c r="G585" s="3"/>
    </row>
    <row r="586" spans="7:7" ht="14.6" x14ac:dyDescent="0.4">
      <c r="G586" s="3"/>
    </row>
    <row r="587" spans="7:7" ht="14.6" x14ac:dyDescent="0.4">
      <c r="G587" s="3"/>
    </row>
    <row r="588" spans="7:7" ht="14.6" x14ac:dyDescent="0.4">
      <c r="G588" s="3"/>
    </row>
    <row r="589" spans="7:7" ht="14.6" x14ac:dyDescent="0.4">
      <c r="G589" s="3"/>
    </row>
    <row r="590" spans="7:7" ht="14.6" x14ac:dyDescent="0.4">
      <c r="G590" s="3"/>
    </row>
    <row r="591" spans="7:7" ht="14.6" x14ac:dyDescent="0.4">
      <c r="G591" s="3"/>
    </row>
    <row r="592" spans="7:7" ht="14.6" x14ac:dyDescent="0.4">
      <c r="G592" s="3"/>
    </row>
    <row r="593" spans="7:7" ht="14.6" x14ac:dyDescent="0.4">
      <c r="G593" s="3"/>
    </row>
    <row r="594" spans="7:7" ht="14.6" x14ac:dyDescent="0.4">
      <c r="G594" s="3"/>
    </row>
    <row r="595" spans="7:7" ht="14.6" x14ac:dyDescent="0.4">
      <c r="G595" s="3"/>
    </row>
    <row r="596" spans="7:7" ht="14.6" x14ac:dyDescent="0.4">
      <c r="G596" s="3"/>
    </row>
    <row r="597" spans="7:7" ht="14.6" x14ac:dyDescent="0.4">
      <c r="G597" s="3"/>
    </row>
    <row r="598" spans="7:7" ht="14.6" x14ac:dyDescent="0.4">
      <c r="G598" s="3"/>
    </row>
    <row r="599" spans="7:7" ht="14.6" x14ac:dyDescent="0.4">
      <c r="G599" s="3"/>
    </row>
    <row r="600" spans="7:7" ht="14.6" x14ac:dyDescent="0.4">
      <c r="G600" s="3"/>
    </row>
    <row r="601" spans="7:7" ht="14.6" x14ac:dyDescent="0.4">
      <c r="G601" s="3"/>
    </row>
    <row r="602" spans="7:7" ht="14.6" x14ac:dyDescent="0.4">
      <c r="G602" s="3"/>
    </row>
    <row r="603" spans="7:7" ht="14.6" x14ac:dyDescent="0.4">
      <c r="G603" s="3"/>
    </row>
    <row r="604" spans="7:7" ht="14.6" x14ac:dyDescent="0.4">
      <c r="G604" s="3"/>
    </row>
    <row r="605" spans="7:7" ht="14.6" x14ac:dyDescent="0.4">
      <c r="G605" s="3"/>
    </row>
    <row r="606" spans="7:7" ht="14.6" x14ac:dyDescent="0.4">
      <c r="G606" s="3"/>
    </row>
    <row r="607" spans="7:7" ht="14.6" x14ac:dyDescent="0.4">
      <c r="G607" s="3"/>
    </row>
    <row r="608" spans="7:7" ht="14.6" x14ac:dyDescent="0.4">
      <c r="G608" s="3"/>
    </row>
    <row r="609" spans="7:7" ht="14.6" x14ac:dyDescent="0.4">
      <c r="G609" s="3"/>
    </row>
    <row r="610" spans="7:7" ht="14.6" x14ac:dyDescent="0.4">
      <c r="G610" s="3"/>
    </row>
    <row r="611" spans="7:7" ht="14.6" x14ac:dyDescent="0.4">
      <c r="G611" s="3"/>
    </row>
    <row r="612" spans="7:7" ht="14.6" x14ac:dyDescent="0.4">
      <c r="G612" s="3"/>
    </row>
    <row r="613" spans="7:7" ht="14.6" x14ac:dyDescent="0.4">
      <c r="G613" s="3"/>
    </row>
    <row r="614" spans="7:7" ht="14.6" x14ac:dyDescent="0.4">
      <c r="G614" s="3"/>
    </row>
    <row r="615" spans="7:7" ht="14.6" x14ac:dyDescent="0.4">
      <c r="G615" s="3"/>
    </row>
    <row r="616" spans="7:7" ht="14.6" x14ac:dyDescent="0.4">
      <c r="G616" s="3"/>
    </row>
    <row r="617" spans="7:7" ht="14.6" x14ac:dyDescent="0.4">
      <c r="G617" s="3"/>
    </row>
    <row r="618" spans="7:7" ht="14.6" x14ac:dyDescent="0.4">
      <c r="G618" s="3"/>
    </row>
    <row r="619" spans="7:7" ht="14.6" x14ac:dyDescent="0.4">
      <c r="G619" s="3"/>
    </row>
    <row r="620" spans="7:7" ht="14.6" x14ac:dyDescent="0.4">
      <c r="G620" s="3"/>
    </row>
    <row r="621" spans="7:7" ht="14.6" x14ac:dyDescent="0.4">
      <c r="G621" s="3"/>
    </row>
    <row r="622" spans="7:7" ht="14.6" x14ac:dyDescent="0.4">
      <c r="G622" s="3"/>
    </row>
    <row r="623" spans="7:7" ht="14.6" x14ac:dyDescent="0.4">
      <c r="G623" s="3"/>
    </row>
    <row r="624" spans="7:7" ht="14.6" x14ac:dyDescent="0.4">
      <c r="G624" s="3"/>
    </row>
    <row r="625" spans="7:7" ht="14.6" x14ac:dyDescent="0.4">
      <c r="G625" s="3"/>
    </row>
    <row r="626" spans="7:7" ht="14.6" x14ac:dyDescent="0.4">
      <c r="G626" s="3"/>
    </row>
    <row r="627" spans="7:7" ht="14.6" x14ac:dyDescent="0.4">
      <c r="G627" s="3"/>
    </row>
    <row r="628" spans="7:7" ht="14.6" x14ac:dyDescent="0.4">
      <c r="G628" s="3"/>
    </row>
    <row r="629" spans="7:7" ht="14.6" x14ac:dyDescent="0.4">
      <c r="G629" s="3"/>
    </row>
    <row r="630" spans="7:7" ht="14.6" x14ac:dyDescent="0.4">
      <c r="G630" s="3"/>
    </row>
    <row r="631" spans="7:7" ht="14.6" x14ac:dyDescent="0.4">
      <c r="G631" s="3"/>
    </row>
    <row r="632" spans="7:7" ht="14.6" x14ac:dyDescent="0.4">
      <c r="G632" s="3"/>
    </row>
    <row r="633" spans="7:7" ht="14.6" x14ac:dyDescent="0.4">
      <c r="G633" s="3"/>
    </row>
    <row r="634" spans="7:7" ht="14.6" x14ac:dyDescent="0.4">
      <c r="G634" s="3"/>
    </row>
    <row r="635" spans="7:7" ht="14.6" x14ac:dyDescent="0.4">
      <c r="G635" s="3"/>
    </row>
    <row r="636" spans="7:7" ht="14.6" x14ac:dyDescent="0.4">
      <c r="G636" s="3"/>
    </row>
    <row r="637" spans="7:7" ht="14.6" x14ac:dyDescent="0.4">
      <c r="G637" s="3"/>
    </row>
    <row r="638" spans="7:7" ht="14.6" x14ac:dyDescent="0.4">
      <c r="G638" s="3"/>
    </row>
    <row r="639" spans="7:7" ht="14.6" x14ac:dyDescent="0.4">
      <c r="G639" s="3"/>
    </row>
    <row r="640" spans="7:7" ht="14.6" x14ac:dyDescent="0.4">
      <c r="G640" s="3"/>
    </row>
    <row r="641" spans="7:7" ht="14.6" x14ac:dyDescent="0.4">
      <c r="G641" s="3"/>
    </row>
    <row r="642" spans="7:7" ht="14.6" x14ac:dyDescent="0.4">
      <c r="G642" s="3"/>
    </row>
    <row r="643" spans="7:7" ht="14.6" x14ac:dyDescent="0.4">
      <c r="G643" s="3"/>
    </row>
    <row r="644" spans="7:7" ht="14.6" x14ac:dyDescent="0.4">
      <c r="G644" s="3"/>
    </row>
    <row r="645" spans="7:7" ht="14.6" x14ac:dyDescent="0.4">
      <c r="G645" s="3"/>
    </row>
    <row r="646" spans="7:7" ht="14.6" x14ac:dyDescent="0.4">
      <c r="G646" s="3"/>
    </row>
    <row r="647" spans="7:7" ht="14.6" x14ac:dyDescent="0.4">
      <c r="G647" s="3"/>
    </row>
    <row r="648" spans="7:7" ht="14.6" x14ac:dyDescent="0.4">
      <c r="G648" s="3"/>
    </row>
    <row r="649" spans="7:7" ht="14.6" x14ac:dyDescent="0.4">
      <c r="G649" s="3"/>
    </row>
    <row r="650" spans="7:7" ht="14.6" x14ac:dyDescent="0.4">
      <c r="G650" s="3"/>
    </row>
    <row r="651" spans="7:7" ht="14.6" x14ac:dyDescent="0.4">
      <c r="G651" s="3"/>
    </row>
    <row r="652" spans="7:7" ht="14.6" x14ac:dyDescent="0.4">
      <c r="G652" s="3"/>
    </row>
    <row r="653" spans="7:7" ht="14.6" x14ac:dyDescent="0.4">
      <c r="G653" s="3"/>
    </row>
    <row r="654" spans="7:7" ht="14.6" x14ac:dyDescent="0.4">
      <c r="G654" s="3"/>
    </row>
    <row r="655" spans="7:7" ht="14.6" x14ac:dyDescent="0.4">
      <c r="G655" s="3"/>
    </row>
    <row r="656" spans="7:7" ht="14.6" x14ac:dyDescent="0.4">
      <c r="G656" s="3"/>
    </row>
    <row r="657" spans="7:7" ht="14.6" x14ac:dyDescent="0.4">
      <c r="G657" s="3"/>
    </row>
    <row r="658" spans="7:7" ht="14.6" x14ac:dyDescent="0.4">
      <c r="G658" s="3"/>
    </row>
    <row r="659" spans="7:7" ht="14.6" x14ac:dyDescent="0.4">
      <c r="G659" s="3"/>
    </row>
    <row r="660" spans="7:7" ht="14.6" x14ac:dyDescent="0.4">
      <c r="G660" s="3"/>
    </row>
    <row r="661" spans="7:7" ht="14.6" x14ac:dyDescent="0.4">
      <c r="G661" s="3"/>
    </row>
    <row r="662" spans="7:7" ht="14.6" x14ac:dyDescent="0.4">
      <c r="G662" s="3"/>
    </row>
    <row r="663" spans="7:7" ht="14.6" x14ac:dyDescent="0.4">
      <c r="G663" s="3"/>
    </row>
    <row r="664" spans="7:7" ht="14.6" x14ac:dyDescent="0.4">
      <c r="G664" s="3"/>
    </row>
    <row r="665" spans="7:7" ht="14.6" x14ac:dyDescent="0.4">
      <c r="G665" s="3"/>
    </row>
    <row r="666" spans="7:7" ht="14.6" x14ac:dyDescent="0.4">
      <c r="G666" s="3"/>
    </row>
    <row r="667" spans="7:7" ht="14.6" x14ac:dyDescent="0.4">
      <c r="G667" s="3"/>
    </row>
    <row r="668" spans="7:7" ht="14.6" x14ac:dyDescent="0.4">
      <c r="G668" s="3"/>
    </row>
    <row r="669" spans="7:7" ht="14.6" x14ac:dyDescent="0.4">
      <c r="G669" s="3"/>
    </row>
    <row r="670" spans="7:7" ht="14.6" x14ac:dyDescent="0.4">
      <c r="G670" s="3"/>
    </row>
    <row r="671" spans="7:7" ht="14.6" x14ac:dyDescent="0.4">
      <c r="G671" s="3"/>
    </row>
    <row r="672" spans="7:7" ht="14.6" x14ac:dyDescent="0.4">
      <c r="G672" s="3"/>
    </row>
    <row r="673" spans="7:7" ht="14.6" x14ac:dyDescent="0.4">
      <c r="G673" s="3"/>
    </row>
    <row r="674" spans="7:7" ht="14.6" x14ac:dyDescent="0.4">
      <c r="G674" s="3"/>
    </row>
    <row r="675" spans="7:7" ht="14.6" x14ac:dyDescent="0.4">
      <c r="G675" s="3"/>
    </row>
    <row r="676" spans="7:7" ht="14.6" x14ac:dyDescent="0.4">
      <c r="G676" s="3"/>
    </row>
    <row r="677" spans="7:7" ht="14.6" x14ac:dyDescent="0.4">
      <c r="G677" s="3"/>
    </row>
    <row r="678" spans="7:7" ht="14.6" x14ac:dyDescent="0.4">
      <c r="G678" s="3"/>
    </row>
    <row r="679" spans="7:7" ht="14.6" x14ac:dyDescent="0.4">
      <c r="G679" s="3"/>
    </row>
    <row r="680" spans="7:7" ht="14.6" x14ac:dyDescent="0.4">
      <c r="G680" s="3"/>
    </row>
    <row r="681" spans="7:7" ht="14.6" x14ac:dyDescent="0.4">
      <c r="G681" s="3"/>
    </row>
    <row r="682" spans="7:7" ht="14.6" x14ac:dyDescent="0.4">
      <c r="G682" s="3"/>
    </row>
    <row r="683" spans="7:7" ht="14.6" x14ac:dyDescent="0.4">
      <c r="G683" s="3"/>
    </row>
    <row r="684" spans="7:7" ht="14.6" x14ac:dyDescent="0.4">
      <c r="G684" s="3"/>
    </row>
    <row r="685" spans="7:7" ht="14.6" x14ac:dyDescent="0.4">
      <c r="G685" s="3"/>
    </row>
    <row r="686" spans="7:7" ht="14.6" x14ac:dyDescent="0.4">
      <c r="G686" s="3"/>
    </row>
    <row r="687" spans="7:7" ht="14.6" x14ac:dyDescent="0.4">
      <c r="G687" s="3"/>
    </row>
    <row r="688" spans="7:7" ht="14.6" x14ac:dyDescent="0.4">
      <c r="G688" s="3"/>
    </row>
    <row r="689" spans="7:7" ht="14.6" x14ac:dyDescent="0.4">
      <c r="G689" s="3"/>
    </row>
    <row r="690" spans="7:7" ht="14.6" x14ac:dyDescent="0.4">
      <c r="G690" s="3"/>
    </row>
    <row r="691" spans="7:7" ht="14.6" x14ac:dyDescent="0.4">
      <c r="G691" s="3"/>
    </row>
    <row r="692" spans="7:7" ht="14.6" x14ac:dyDescent="0.4">
      <c r="G692" s="3"/>
    </row>
    <row r="693" spans="7:7" ht="14.6" x14ac:dyDescent="0.4">
      <c r="G693" s="3"/>
    </row>
    <row r="694" spans="7:7" ht="14.6" x14ac:dyDescent="0.4">
      <c r="G694" s="3"/>
    </row>
    <row r="695" spans="7:7" ht="14.6" x14ac:dyDescent="0.4">
      <c r="G695" s="3"/>
    </row>
    <row r="696" spans="7:7" ht="14.6" x14ac:dyDescent="0.4">
      <c r="G696" s="3"/>
    </row>
    <row r="697" spans="7:7" ht="14.6" x14ac:dyDescent="0.4">
      <c r="G697" s="3"/>
    </row>
    <row r="698" spans="7:7" ht="14.6" x14ac:dyDescent="0.4">
      <c r="G698" s="3"/>
    </row>
    <row r="699" spans="7:7" ht="14.6" x14ac:dyDescent="0.4">
      <c r="G699" s="3"/>
    </row>
    <row r="700" spans="7:7" ht="14.6" x14ac:dyDescent="0.4">
      <c r="G700" s="3"/>
    </row>
    <row r="701" spans="7:7" ht="14.6" x14ac:dyDescent="0.4">
      <c r="G701" s="3"/>
    </row>
    <row r="702" spans="7:7" ht="14.6" x14ac:dyDescent="0.4">
      <c r="G702" s="3"/>
    </row>
    <row r="703" spans="7:7" ht="14.6" x14ac:dyDescent="0.4">
      <c r="G703" s="3"/>
    </row>
    <row r="704" spans="7:7" ht="14.6" x14ac:dyDescent="0.4">
      <c r="G704" s="3"/>
    </row>
    <row r="705" spans="7:7" ht="14.6" x14ac:dyDescent="0.4">
      <c r="G705" s="3"/>
    </row>
    <row r="706" spans="7:7" ht="14.6" x14ac:dyDescent="0.4">
      <c r="G706" s="3"/>
    </row>
    <row r="707" spans="7:7" ht="14.6" x14ac:dyDescent="0.4">
      <c r="G707" s="3"/>
    </row>
    <row r="708" spans="7:7" ht="14.6" x14ac:dyDescent="0.4">
      <c r="G708" s="3"/>
    </row>
    <row r="709" spans="7:7" ht="14.6" x14ac:dyDescent="0.4">
      <c r="G709" s="3"/>
    </row>
    <row r="710" spans="7:7" ht="14.6" x14ac:dyDescent="0.4">
      <c r="G710" s="3"/>
    </row>
    <row r="711" spans="7:7" ht="14.6" x14ac:dyDescent="0.4">
      <c r="G711" s="3"/>
    </row>
    <row r="712" spans="7:7" ht="14.6" x14ac:dyDescent="0.4">
      <c r="G712" s="3"/>
    </row>
    <row r="713" spans="7:7" ht="14.6" x14ac:dyDescent="0.4">
      <c r="G713" s="3"/>
    </row>
    <row r="714" spans="7:7" ht="14.6" x14ac:dyDescent="0.4">
      <c r="G714" s="3"/>
    </row>
    <row r="715" spans="7:7" ht="14.6" x14ac:dyDescent="0.4">
      <c r="G715" s="3"/>
    </row>
    <row r="716" spans="7:7" ht="14.6" x14ac:dyDescent="0.4">
      <c r="G716" s="3"/>
    </row>
    <row r="717" spans="7:7" ht="14.6" x14ac:dyDescent="0.4">
      <c r="G717" s="3"/>
    </row>
    <row r="718" spans="7:7" ht="14.6" x14ac:dyDescent="0.4">
      <c r="G718" s="3"/>
    </row>
    <row r="719" spans="7:7" ht="14.6" x14ac:dyDescent="0.4">
      <c r="G719" s="3"/>
    </row>
    <row r="720" spans="7:7" ht="14.6" x14ac:dyDescent="0.4">
      <c r="G720" s="3"/>
    </row>
    <row r="721" spans="7:7" ht="14.6" x14ac:dyDescent="0.4">
      <c r="G721" s="3"/>
    </row>
    <row r="722" spans="7:7" ht="14.6" x14ac:dyDescent="0.4">
      <c r="G722" s="3"/>
    </row>
    <row r="723" spans="7:7" ht="14.6" x14ac:dyDescent="0.4">
      <c r="G723" s="3"/>
    </row>
    <row r="724" spans="7:7" ht="14.6" x14ac:dyDescent="0.4">
      <c r="G724" s="3"/>
    </row>
    <row r="725" spans="7:7" ht="14.6" x14ac:dyDescent="0.4">
      <c r="G725" s="3"/>
    </row>
    <row r="726" spans="7:7" ht="14.6" x14ac:dyDescent="0.4">
      <c r="G726" s="3"/>
    </row>
    <row r="727" spans="7:7" ht="14.6" x14ac:dyDescent="0.4">
      <c r="G727" s="3"/>
    </row>
    <row r="728" spans="7:7" ht="14.6" x14ac:dyDescent="0.4">
      <c r="G728" s="3"/>
    </row>
    <row r="729" spans="7:7" ht="14.6" x14ac:dyDescent="0.4">
      <c r="G729" s="3"/>
    </row>
    <row r="730" spans="7:7" ht="14.6" x14ac:dyDescent="0.4">
      <c r="G730" s="3"/>
    </row>
    <row r="731" spans="7:7" ht="14.6" x14ac:dyDescent="0.4">
      <c r="G731" s="3"/>
    </row>
    <row r="732" spans="7:7" ht="14.6" x14ac:dyDescent="0.4">
      <c r="G732" s="3"/>
    </row>
    <row r="733" spans="7:7" ht="14.6" x14ac:dyDescent="0.4">
      <c r="G733" s="3"/>
    </row>
    <row r="734" spans="7:7" ht="14.6" x14ac:dyDescent="0.4">
      <c r="G734" s="3"/>
    </row>
    <row r="735" spans="7:7" ht="14.6" x14ac:dyDescent="0.4">
      <c r="G735" s="3"/>
    </row>
    <row r="736" spans="7:7" ht="14.6" x14ac:dyDescent="0.4">
      <c r="G736" s="3"/>
    </row>
    <row r="737" spans="7:7" ht="14.6" x14ac:dyDescent="0.4">
      <c r="G737" s="3"/>
    </row>
    <row r="738" spans="7:7" ht="14.6" x14ac:dyDescent="0.4">
      <c r="G738" s="3"/>
    </row>
    <row r="739" spans="7:7" ht="14.6" x14ac:dyDescent="0.4">
      <c r="G739" s="3"/>
    </row>
    <row r="740" spans="7:7" ht="14.6" x14ac:dyDescent="0.4">
      <c r="G740" s="3"/>
    </row>
    <row r="741" spans="7:7" ht="14.6" x14ac:dyDescent="0.4">
      <c r="G741" s="3"/>
    </row>
    <row r="742" spans="7:7" ht="14.6" x14ac:dyDescent="0.4">
      <c r="G742" s="3"/>
    </row>
    <row r="743" spans="7:7" ht="14.6" x14ac:dyDescent="0.4">
      <c r="G743" s="3"/>
    </row>
    <row r="744" spans="7:7" ht="14.6" x14ac:dyDescent="0.4">
      <c r="G744" s="3"/>
    </row>
    <row r="745" spans="7:7" ht="14.6" x14ac:dyDescent="0.4">
      <c r="G745" s="3"/>
    </row>
    <row r="746" spans="7:7" ht="14.6" x14ac:dyDescent="0.4">
      <c r="G746" s="3"/>
    </row>
    <row r="747" spans="7:7" ht="14.6" x14ac:dyDescent="0.4">
      <c r="G747" s="3"/>
    </row>
    <row r="748" spans="7:7" ht="14.6" x14ac:dyDescent="0.4">
      <c r="G748" s="3"/>
    </row>
    <row r="749" spans="7:7" ht="14.6" x14ac:dyDescent="0.4">
      <c r="G749" s="3"/>
    </row>
    <row r="750" spans="7:7" ht="14.6" x14ac:dyDescent="0.4">
      <c r="G750" s="3"/>
    </row>
    <row r="751" spans="7:7" ht="14.6" x14ac:dyDescent="0.4">
      <c r="G751" s="3"/>
    </row>
    <row r="752" spans="7:7" ht="14.6" x14ac:dyDescent="0.4">
      <c r="G752" s="3"/>
    </row>
    <row r="753" spans="7:7" ht="14.6" x14ac:dyDescent="0.4">
      <c r="G753" s="3"/>
    </row>
    <row r="754" spans="7:7" ht="14.6" x14ac:dyDescent="0.4">
      <c r="G754" s="3"/>
    </row>
    <row r="755" spans="7:7" ht="14.6" x14ac:dyDescent="0.4">
      <c r="G755" s="3"/>
    </row>
    <row r="756" spans="7:7" ht="14.6" x14ac:dyDescent="0.4">
      <c r="G756" s="3"/>
    </row>
    <row r="757" spans="7:7" ht="14.6" x14ac:dyDescent="0.4">
      <c r="G757" s="3"/>
    </row>
    <row r="758" spans="7:7" ht="14.6" x14ac:dyDescent="0.4">
      <c r="G758" s="3"/>
    </row>
    <row r="759" spans="7:7" ht="14.6" x14ac:dyDescent="0.4">
      <c r="G759" s="3"/>
    </row>
    <row r="760" spans="7:7" ht="14.6" x14ac:dyDescent="0.4">
      <c r="G760" s="3"/>
    </row>
    <row r="761" spans="7:7" ht="14.6" x14ac:dyDescent="0.4">
      <c r="G761" s="3"/>
    </row>
    <row r="762" spans="7:7" ht="14.6" x14ac:dyDescent="0.4">
      <c r="G762" s="3"/>
    </row>
    <row r="763" spans="7:7" ht="14.6" x14ac:dyDescent="0.4">
      <c r="G763" s="3"/>
    </row>
    <row r="764" spans="7:7" ht="14.6" x14ac:dyDescent="0.4">
      <c r="G764" s="3"/>
    </row>
    <row r="765" spans="7:7" ht="14.6" x14ac:dyDescent="0.4">
      <c r="G765" s="3"/>
    </row>
    <row r="766" spans="7:7" ht="14.6" x14ac:dyDescent="0.4">
      <c r="G766" s="3"/>
    </row>
    <row r="767" spans="7:7" ht="14.6" x14ac:dyDescent="0.4">
      <c r="G767" s="3"/>
    </row>
    <row r="768" spans="7:7" ht="14.6" x14ac:dyDescent="0.4">
      <c r="G768" s="3"/>
    </row>
    <row r="769" spans="7:7" ht="14.6" x14ac:dyDescent="0.4">
      <c r="G769" s="3"/>
    </row>
    <row r="770" spans="7:7" ht="14.6" x14ac:dyDescent="0.4">
      <c r="G770" s="3"/>
    </row>
    <row r="771" spans="7:7" ht="14.6" x14ac:dyDescent="0.4">
      <c r="G771" s="3"/>
    </row>
    <row r="772" spans="7:7" ht="14.6" x14ac:dyDescent="0.4">
      <c r="G772" s="3"/>
    </row>
    <row r="773" spans="7:7" ht="14.6" x14ac:dyDescent="0.4">
      <c r="G773" s="3"/>
    </row>
    <row r="774" spans="7:7" ht="14.6" x14ac:dyDescent="0.4">
      <c r="G774" s="3"/>
    </row>
    <row r="775" spans="7:7" ht="14.6" x14ac:dyDescent="0.4">
      <c r="G775" s="3"/>
    </row>
    <row r="776" spans="7:7" ht="14.6" x14ac:dyDescent="0.4">
      <c r="G776" s="3"/>
    </row>
    <row r="777" spans="7:7" ht="14.6" x14ac:dyDescent="0.4">
      <c r="G777" s="3"/>
    </row>
    <row r="778" spans="7:7" ht="14.6" x14ac:dyDescent="0.4">
      <c r="G778" s="3"/>
    </row>
    <row r="779" spans="7:7" ht="14.6" x14ac:dyDescent="0.4">
      <c r="G779" s="3"/>
    </row>
    <row r="780" spans="7:7" ht="14.6" x14ac:dyDescent="0.4">
      <c r="G780" s="3"/>
    </row>
    <row r="781" spans="7:7" ht="14.6" x14ac:dyDescent="0.4">
      <c r="G781" s="3"/>
    </row>
    <row r="782" spans="7:7" ht="14.6" x14ac:dyDescent="0.4">
      <c r="G782" s="3"/>
    </row>
    <row r="783" spans="7:7" ht="14.6" x14ac:dyDescent="0.4">
      <c r="G783" s="3"/>
    </row>
    <row r="784" spans="7:7" ht="14.6" x14ac:dyDescent="0.4">
      <c r="G784" s="3"/>
    </row>
    <row r="785" spans="7:7" ht="14.6" x14ac:dyDescent="0.4">
      <c r="G785" s="3"/>
    </row>
    <row r="786" spans="7:7" ht="14.6" x14ac:dyDescent="0.4">
      <c r="G786" s="3"/>
    </row>
    <row r="787" spans="7:7" ht="14.6" x14ac:dyDescent="0.4">
      <c r="G787" s="3"/>
    </row>
    <row r="788" spans="7:7" ht="14.6" x14ac:dyDescent="0.4">
      <c r="G788" s="3"/>
    </row>
    <row r="789" spans="7:7" ht="14.6" x14ac:dyDescent="0.4">
      <c r="G789" s="3"/>
    </row>
    <row r="790" spans="7:7" ht="14.6" x14ac:dyDescent="0.4">
      <c r="G790" s="3"/>
    </row>
    <row r="791" spans="7:7" ht="14.6" x14ac:dyDescent="0.4">
      <c r="G791" s="3"/>
    </row>
    <row r="792" spans="7:7" ht="14.6" x14ac:dyDescent="0.4">
      <c r="G792" s="3"/>
    </row>
    <row r="793" spans="7:7" ht="14.6" x14ac:dyDescent="0.4">
      <c r="G793" s="3"/>
    </row>
    <row r="794" spans="7:7" ht="14.6" x14ac:dyDescent="0.4">
      <c r="G794" s="3"/>
    </row>
    <row r="795" spans="7:7" ht="14.6" x14ac:dyDescent="0.4">
      <c r="G795" s="3"/>
    </row>
    <row r="796" spans="7:7" ht="14.6" x14ac:dyDescent="0.4">
      <c r="G796" s="3"/>
    </row>
    <row r="797" spans="7:7" ht="14.6" x14ac:dyDescent="0.4">
      <c r="G797" s="3"/>
    </row>
    <row r="798" spans="7:7" ht="14.6" x14ac:dyDescent="0.4">
      <c r="G798" s="3"/>
    </row>
    <row r="799" spans="7:7" ht="14.6" x14ac:dyDescent="0.4">
      <c r="G799" s="3"/>
    </row>
    <row r="800" spans="7:7" ht="14.6" x14ac:dyDescent="0.4">
      <c r="G800" s="3"/>
    </row>
    <row r="801" spans="7:7" ht="14.6" x14ac:dyDescent="0.4">
      <c r="G801" s="3"/>
    </row>
    <row r="802" spans="7:7" ht="14.6" x14ac:dyDescent="0.4">
      <c r="G802" s="3"/>
    </row>
    <row r="803" spans="7:7" ht="14.6" x14ac:dyDescent="0.4">
      <c r="G803" s="3"/>
    </row>
    <row r="804" spans="7:7" ht="14.6" x14ac:dyDescent="0.4">
      <c r="G804" s="3"/>
    </row>
    <row r="805" spans="7:7" ht="14.6" x14ac:dyDescent="0.4">
      <c r="G805" s="3"/>
    </row>
    <row r="806" spans="7:7" ht="14.6" x14ac:dyDescent="0.4">
      <c r="G806" s="3"/>
    </row>
    <row r="807" spans="7:7" ht="14.6" x14ac:dyDescent="0.4">
      <c r="G807" s="3"/>
    </row>
    <row r="808" spans="7:7" ht="14.6" x14ac:dyDescent="0.4">
      <c r="G808" s="3"/>
    </row>
    <row r="809" spans="7:7" ht="14.6" x14ac:dyDescent="0.4">
      <c r="G809" s="3"/>
    </row>
    <row r="810" spans="7:7" ht="14.6" x14ac:dyDescent="0.4">
      <c r="G810" s="3"/>
    </row>
    <row r="811" spans="7:7" ht="14.6" x14ac:dyDescent="0.4">
      <c r="G811" s="3"/>
    </row>
    <row r="812" spans="7:7" ht="14.6" x14ac:dyDescent="0.4">
      <c r="G812" s="3"/>
    </row>
    <row r="813" spans="7:7" ht="14.6" x14ac:dyDescent="0.4">
      <c r="G813" s="3"/>
    </row>
    <row r="814" spans="7:7" ht="14.6" x14ac:dyDescent="0.4">
      <c r="G814" s="3"/>
    </row>
    <row r="815" spans="7:7" ht="14.6" x14ac:dyDescent="0.4">
      <c r="G815" s="3"/>
    </row>
    <row r="816" spans="7:7" ht="14.6" x14ac:dyDescent="0.4">
      <c r="G816" s="3"/>
    </row>
    <row r="817" spans="7:7" ht="14.6" x14ac:dyDescent="0.4">
      <c r="G817" s="3"/>
    </row>
    <row r="818" spans="7:7" ht="14.6" x14ac:dyDescent="0.4">
      <c r="G818" s="3"/>
    </row>
    <row r="819" spans="7:7" ht="14.6" x14ac:dyDescent="0.4">
      <c r="G819" s="3"/>
    </row>
    <row r="820" spans="7:7" ht="14.6" x14ac:dyDescent="0.4">
      <c r="G820" s="3"/>
    </row>
    <row r="821" spans="7:7" ht="14.6" x14ac:dyDescent="0.4">
      <c r="G821" s="3"/>
    </row>
    <row r="822" spans="7:7" ht="14.6" x14ac:dyDescent="0.4">
      <c r="G822" s="3"/>
    </row>
    <row r="823" spans="7:7" ht="14.6" x14ac:dyDescent="0.4">
      <c r="G823" s="3"/>
    </row>
    <row r="824" spans="7:7" ht="14.6" x14ac:dyDescent="0.4">
      <c r="G824" s="3"/>
    </row>
    <row r="825" spans="7:7" ht="14.6" x14ac:dyDescent="0.4">
      <c r="G825" s="3"/>
    </row>
    <row r="826" spans="7:7" ht="14.6" x14ac:dyDescent="0.4">
      <c r="G826" s="3"/>
    </row>
    <row r="827" spans="7:7" ht="14.6" x14ac:dyDescent="0.4">
      <c r="G827" s="3"/>
    </row>
    <row r="828" spans="7:7" ht="14.6" x14ac:dyDescent="0.4">
      <c r="G828" s="3"/>
    </row>
    <row r="829" spans="7:7" ht="14.6" x14ac:dyDescent="0.4">
      <c r="G829" s="3"/>
    </row>
    <row r="830" spans="7:7" ht="14.6" x14ac:dyDescent="0.4">
      <c r="G830" s="3"/>
    </row>
    <row r="831" spans="7:7" ht="14.6" x14ac:dyDescent="0.4">
      <c r="G831" s="3"/>
    </row>
    <row r="832" spans="7:7" ht="14.6" x14ac:dyDescent="0.4">
      <c r="G832" s="3"/>
    </row>
    <row r="833" spans="7:7" ht="14.6" x14ac:dyDescent="0.4">
      <c r="G833" s="3"/>
    </row>
    <row r="834" spans="7:7" ht="14.6" x14ac:dyDescent="0.4">
      <c r="G834" s="3"/>
    </row>
    <row r="835" spans="7:7" ht="14.6" x14ac:dyDescent="0.4">
      <c r="G835" s="3"/>
    </row>
    <row r="836" spans="7:7" ht="14.6" x14ac:dyDescent="0.4">
      <c r="G836" s="3"/>
    </row>
    <row r="837" spans="7:7" ht="14.6" x14ac:dyDescent="0.4">
      <c r="G837" s="3"/>
    </row>
    <row r="838" spans="7:7" ht="14.6" x14ac:dyDescent="0.4">
      <c r="G838" s="3"/>
    </row>
    <row r="839" spans="7:7" ht="14.6" x14ac:dyDescent="0.4">
      <c r="G839" s="3"/>
    </row>
    <row r="840" spans="7:7" ht="14.6" x14ac:dyDescent="0.4">
      <c r="G840" s="3"/>
    </row>
    <row r="841" spans="7:7" ht="14.6" x14ac:dyDescent="0.4">
      <c r="G841" s="3"/>
    </row>
    <row r="842" spans="7:7" ht="14.6" x14ac:dyDescent="0.4">
      <c r="G842" s="3"/>
    </row>
    <row r="843" spans="7:7" ht="14.6" x14ac:dyDescent="0.4">
      <c r="G843" s="3"/>
    </row>
    <row r="844" spans="7:7" ht="14.6" x14ac:dyDescent="0.4">
      <c r="G844" s="3"/>
    </row>
    <row r="845" spans="7:7" ht="14.6" x14ac:dyDescent="0.4">
      <c r="G845" s="3"/>
    </row>
    <row r="846" spans="7:7" ht="14.6" x14ac:dyDescent="0.4">
      <c r="G846" s="3"/>
    </row>
    <row r="847" spans="7:7" ht="14.6" x14ac:dyDescent="0.4">
      <c r="G847" s="3"/>
    </row>
    <row r="848" spans="7:7" ht="14.6" x14ac:dyDescent="0.4">
      <c r="G848" s="3"/>
    </row>
    <row r="849" spans="7:7" ht="14.6" x14ac:dyDescent="0.4">
      <c r="G849" s="3"/>
    </row>
    <row r="850" spans="7:7" ht="14.6" x14ac:dyDescent="0.4">
      <c r="G850" s="3"/>
    </row>
    <row r="851" spans="7:7" ht="14.6" x14ac:dyDescent="0.4">
      <c r="G851" s="3"/>
    </row>
    <row r="852" spans="7:7" ht="14.6" x14ac:dyDescent="0.4">
      <c r="G852" s="3"/>
    </row>
    <row r="853" spans="7:7" ht="14.6" x14ac:dyDescent="0.4">
      <c r="G853" s="3"/>
    </row>
    <row r="854" spans="7:7" ht="14.6" x14ac:dyDescent="0.4">
      <c r="G854" s="3"/>
    </row>
    <row r="855" spans="7:7" ht="14.6" x14ac:dyDescent="0.4">
      <c r="G855" s="3"/>
    </row>
    <row r="856" spans="7:7" ht="14.6" x14ac:dyDescent="0.4">
      <c r="G856" s="3"/>
    </row>
    <row r="857" spans="7:7" ht="14.6" x14ac:dyDescent="0.4">
      <c r="G857" s="3"/>
    </row>
    <row r="858" spans="7:7" ht="14.6" x14ac:dyDescent="0.4">
      <c r="G858" s="3"/>
    </row>
    <row r="859" spans="7:7" ht="14.6" x14ac:dyDescent="0.4">
      <c r="G859" s="3"/>
    </row>
    <row r="860" spans="7:7" ht="14.6" x14ac:dyDescent="0.4">
      <c r="G860" s="3"/>
    </row>
    <row r="861" spans="7:7" ht="14.6" x14ac:dyDescent="0.4">
      <c r="G861" s="3"/>
    </row>
    <row r="862" spans="7:7" ht="14.6" x14ac:dyDescent="0.4">
      <c r="G862" s="3"/>
    </row>
    <row r="863" spans="7:7" ht="14.6" x14ac:dyDescent="0.4">
      <c r="G863" s="3"/>
    </row>
    <row r="864" spans="7:7" ht="14.6" x14ac:dyDescent="0.4">
      <c r="G864" s="3"/>
    </row>
    <row r="865" spans="7:7" ht="14.6" x14ac:dyDescent="0.4">
      <c r="G865" s="3"/>
    </row>
    <row r="866" spans="7:7" ht="14.6" x14ac:dyDescent="0.4">
      <c r="G866" s="3"/>
    </row>
    <row r="867" spans="7:7" ht="14.6" x14ac:dyDescent="0.4">
      <c r="G867" s="3"/>
    </row>
    <row r="868" spans="7:7" ht="14.6" x14ac:dyDescent="0.4">
      <c r="G868" s="3"/>
    </row>
    <row r="869" spans="7:7" ht="14.6" x14ac:dyDescent="0.4">
      <c r="G869" s="3"/>
    </row>
    <row r="870" spans="7:7" ht="14.6" x14ac:dyDescent="0.4">
      <c r="G870" s="3"/>
    </row>
    <row r="871" spans="7:7" ht="14.6" x14ac:dyDescent="0.4">
      <c r="G871" s="3"/>
    </row>
    <row r="872" spans="7:7" ht="14.6" x14ac:dyDescent="0.4">
      <c r="G872" s="3"/>
    </row>
    <row r="873" spans="7:7" ht="14.6" x14ac:dyDescent="0.4">
      <c r="G873" s="3"/>
    </row>
    <row r="874" spans="7:7" ht="14.6" x14ac:dyDescent="0.4">
      <c r="G874" s="3"/>
    </row>
    <row r="875" spans="7:7" ht="14.6" x14ac:dyDescent="0.4">
      <c r="G875" s="3"/>
    </row>
    <row r="876" spans="7:7" ht="14.6" x14ac:dyDescent="0.4">
      <c r="G876" s="3"/>
    </row>
    <row r="877" spans="7:7" ht="14.6" x14ac:dyDescent="0.4">
      <c r="G877" s="3"/>
    </row>
    <row r="878" spans="7:7" ht="14.6" x14ac:dyDescent="0.4">
      <c r="G878" s="3"/>
    </row>
    <row r="879" spans="7:7" ht="14.6" x14ac:dyDescent="0.4">
      <c r="G879" s="3"/>
    </row>
    <row r="880" spans="7:7" ht="14.6" x14ac:dyDescent="0.4">
      <c r="G880" s="3"/>
    </row>
    <row r="881" spans="7:7" ht="14.6" x14ac:dyDescent="0.4">
      <c r="G881" s="3"/>
    </row>
    <row r="882" spans="7:7" ht="14.6" x14ac:dyDescent="0.4">
      <c r="G882" s="3"/>
    </row>
    <row r="883" spans="7:7" ht="14.6" x14ac:dyDescent="0.4">
      <c r="G883" s="3"/>
    </row>
    <row r="884" spans="7:7" ht="14.6" x14ac:dyDescent="0.4">
      <c r="G884" s="3"/>
    </row>
    <row r="885" spans="7:7" ht="14.6" x14ac:dyDescent="0.4">
      <c r="G885" s="3"/>
    </row>
    <row r="886" spans="7:7" ht="14.6" x14ac:dyDescent="0.4">
      <c r="G886" s="3"/>
    </row>
    <row r="887" spans="7:7" ht="14.6" x14ac:dyDescent="0.4">
      <c r="G887" s="3"/>
    </row>
    <row r="888" spans="7:7" ht="14.6" x14ac:dyDescent="0.4">
      <c r="G888" s="3"/>
    </row>
    <row r="889" spans="7:7" ht="14.6" x14ac:dyDescent="0.4">
      <c r="G889" s="3"/>
    </row>
    <row r="890" spans="7:7" ht="14.6" x14ac:dyDescent="0.4">
      <c r="G890" s="3"/>
    </row>
    <row r="891" spans="7:7" ht="14.6" x14ac:dyDescent="0.4">
      <c r="G891" s="3"/>
    </row>
    <row r="892" spans="7:7" ht="14.6" x14ac:dyDescent="0.4">
      <c r="G892" s="3"/>
    </row>
    <row r="893" spans="7:7" ht="14.6" x14ac:dyDescent="0.4">
      <c r="G893" s="3"/>
    </row>
    <row r="894" spans="7:7" ht="14.6" x14ac:dyDescent="0.4">
      <c r="G894" s="3"/>
    </row>
    <row r="895" spans="7:7" ht="14.6" x14ac:dyDescent="0.4">
      <c r="G895" s="3"/>
    </row>
    <row r="896" spans="7:7" ht="14.6" x14ac:dyDescent="0.4">
      <c r="G896" s="3"/>
    </row>
    <row r="897" spans="7:7" ht="14.6" x14ac:dyDescent="0.4">
      <c r="G897" s="3"/>
    </row>
    <row r="898" spans="7:7" ht="14.6" x14ac:dyDescent="0.4">
      <c r="G898" s="3"/>
    </row>
    <row r="899" spans="7:7" ht="14.6" x14ac:dyDescent="0.4">
      <c r="G899" s="3"/>
    </row>
    <row r="900" spans="7:7" ht="14.6" x14ac:dyDescent="0.4">
      <c r="G900" s="3"/>
    </row>
    <row r="901" spans="7:7" ht="14.6" x14ac:dyDescent="0.4">
      <c r="G901" s="3"/>
    </row>
    <row r="902" spans="7:7" ht="14.6" x14ac:dyDescent="0.4">
      <c r="G902" s="3"/>
    </row>
    <row r="903" spans="7:7" ht="14.6" x14ac:dyDescent="0.4">
      <c r="G903" s="3"/>
    </row>
    <row r="904" spans="7:7" ht="14.6" x14ac:dyDescent="0.4">
      <c r="G904" s="3"/>
    </row>
    <row r="905" spans="7:7" ht="14.6" x14ac:dyDescent="0.4">
      <c r="G905" s="3"/>
    </row>
    <row r="906" spans="7:7" ht="14.6" x14ac:dyDescent="0.4">
      <c r="G906" s="3"/>
    </row>
    <row r="907" spans="7:7" ht="14.6" x14ac:dyDescent="0.4">
      <c r="G907" s="3"/>
    </row>
    <row r="908" spans="7:7" ht="14.6" x14ac:dyDescent="0.4">
      <c r="G908" s="3"/>
    </row>
    <row r="909" spans="7:7" ht="14.6" x14ac:dyDescent="0.4">
      <c r="G909" s="3"/>
    </row>
    <row r="910" spans="7:7" ht="14.6" x14ac:dyDescent="0.4">
      <c r="G910" s="3"/>
    </row>
    <row r="911" spans="7:7" ht="14.6" x14ac:dyDescent="0.4">
      <c r="G911" s="3"/>
    </row>
    <row r="912" spans="7:7" ht="14.6" x14ac:dyDescent="0.4">
      <c r="G912" s="3"/>
    </row>
    <row r="913" spans="7:7" ht="14.6" x14ac:dyDescent="0.4">
      <c r="G913" s="3"/>
    </row>
    <row r="914" spans="7:7" ht="14.6" x14ac:dyDescent="0.4">
      <c r="G914" s="3"/>
    </row>
    <row r="915" spans="7:7" ht="14.6" x14ac:dyDescent="0.4">
      <c r="G915" s="3"/>
    </row>
    <row r="916" spans="7:7" ht="14.6" x14ac:dyDescent="0.4">
      <c r="G916" s="3"/>
    </row>
    <row r="917" spans="7:7" ht="14.6" x14ac:dyDescent="0.4">
      <c r="G917" s="3"/>
    </row>
    <row r="918" spans="7:7" ht="14.6" x14ac:dyDescent="0.4">
      <c r="G918" s="3"/>
    </row>
    <row r="919" spans="7:7" ht="14.6" x14ac:dyDescent="0.4">
      <c r="G919" s="3"/>
    </row>
    <row r="920" spans="7:7" ht="14.6" x14ac:dyDescent="0.4">
      <c r="G920" s="3"/>
    </row>
    <row r="921" spans="7:7" ht="14.6" x14ac:dyDescent="0.4">
      <c r="G921" s="3"/>
    </row>
    <row r="922" spans="7:7" ht="14.6" x14ac:dyDescent="0.4">
      <c r="G922" s="3"/>
    </row>
    <row r="923" spans="7:7" ht="14.6" x14ac:dyDescent="0.4">
      <c r="G923" s="3"/>
    </row>
    <row r="924" spans="7:7" ht="14.6" x14ac:dyDescent="0.4">
      <c r="G924" s="3"/>
    </row>
    <row r="925" spans="7:7" ht="14.6" x14ac:dyDescent="0.4">
      <c r="G925" s="3"/>
    </row>
    <row r="926" spans="7:7" ht="14.6" x14ac:dyDescent="0.4">
      <c r="G926" s="3"/>
    </row>
    <row r="927" spans="7:7" ht="14.6" x14ac:dyDescent="0.4">
      <c r="G927" s="3"/>
    </row>
    <row r="928" spans="7:7" ht="14.6" x14ac:dyDescent="0.4">
      <c r="G928" s="3"/>
    </row>
    <row r="929" spans="7:7" ht="14.6" x14ac:dyDescent="0.4">
      <c r="G929" s="3"/>
    </row>
    <row r="930" spans="7:7" ht="14.6" x14ac:dyDescent="0.4">
      <c r="G930" s="3"/>
    </row>
    <row r="931" spans="7:7" ht="14.6" x14ac:dyDescent="0.4">
      <c r="G931" s="3"/>
    </row>
    <row r="932" spans="7:7" ht="14.6" x14ac:dyDescent="0.4">
      <c r="G932" s="3"/>
    </row>
    <row r="933" spans="7:7" ht="14.6" x14ac:dyDescent="0.4">
      <c r="G933" s="3"/>
    </row>
    <row r="934" spans="7:7" ht="14.6" x14ac:dyDescent="0.4">
      <c r="G934" s="3"/>
    </row>
    <row r="935" spans="7:7" ht="14.6" x14ac:dyDescent="0.4">
      <c r="G935" s="3"/>
    </row>
    <row r="936" spans="7:7" ht="14.6" x14ac:dyDescent="0.4">
      <c r="G936" s="3"/>
    </row>
    <row r="937" spans="7:7" ht="14.6" x14ac:dyDescent="0.4">
      <c r="G937" s="3"/>
    </row>
    <row r="938" spans="7:7" ht="14.6" x14ac:dyDescent="0.4">
      <c r="G938" s="3"/>
    </row>
    <row r="939" spans="7:7" ht="14.6" x14ac:dyDescent="0.4">
      <c r="G939" s="3"/>
    </row>
    <row r="940" spans="7:7" ht="14.6" x14ac:dyDescent="0.4">
      <c r="G940" s="3"/>
    </row>
    <row r="941" spans="7:7" ht="14.6" x14ac:dyDescent="0.4">
      <c r="G941" s="3"/>
    </row>
    <row r="942" spans="7:7" ht="14.6" x14ac:dyDescent="0.4">
      <c r="G942" s="3"/>
    </row>
    <row r="943" spans="7:7" ht="14.6" x14ac:dyDescent="0.4">
      <c r="G943" s="3"/>
    </row>
    <row r="944" spans="7:7" ht="14.6" x14ac:dyDescent="0.4">
      <c r="G944" s="3"/>
    </row>
    <row r="945" spans="7:7" ht="14.6" x14ac:dyDescent="0.4">
      <c r="G945" s="3"/>
    </row>
    <row r="946" spans="7:7" ht="14.6" x14ac:dyDescent="0.4">
      <c r="G946" s="3"/>
    </row>
    <row r="947" spans="7:7" ht="14.6" x14ac:dyDescent="0.4">
      <c r="G947" s="3"/>
    </row>
    <row r="948" spans="7:7" ht="14.6" x14ac:dyDescent="0.4">
      <c r="G948" s="3"/>
    </row>
    <row r="949" spans="7:7" ht="14.6" x14ac:dyDescent="0.4">
      <c r="G949" s="3"/>
    </row>
    <row r="950" spans="7:7" ht="14.6" x14ac:dyDescent="0.4">
      <c r="G950" s="3"/>
    </row>
    <row r="951" spans="7:7" ht="14.6" x14ac:dyDescent="0.4">
      <c r="G951" s="3"/>
    </row>
    <row r="952" spans="7:7" ht="14.6" x14ac:dyDescent="0.4">
      <c r="G952" s="3"/>
    </row>
    <row r="953" spans="7:7" ht="14.6" x14ac:dyDescent="0.4">
      <c r="G953" s="3"/>
    </row>
    <row r="954" spans="7:7" ht="14.6" x14ac:dyDescent="0.4">
      <c r="G954" s="3"/>
    </row>
    <row r="955" spans="7:7" ht="14.6" x14ac:dyDescent="0.4">
      <c r="G955" s="3"/>
    </row>
    <row r="956" spans="7:7" ht="14.6" x14ac:dyDescent="0.4">
      <c r="G956" s="3"/>
    </row>
    <row r="957" spans="7:7" ht="14.6" x14ac:dyDescent="0.4">
      <c r="G957" s="3"/>
    </row>
    <row r="958" spans="7:7" ht="14.6" x14ac:dyDescent="0.4">
      <c r="G958" s="3"/>
    </row>
    <row r="959" spans="7:7" ht="14.6" x14ac:dyDescent="0.4">
      <c r="G959" s="3"/>
    </row>
    <row r="960" spans="7:7" ht="14.6" x14ac:dyDescent="0.4">
      <c r="G960" s="3"/>
    </row>
    <row r="961" spans="7:7" ht="14.6" x14ac:dyDescent="0.4">
      <c r="G961" s="3"/>
    </row>
    <row r="962" spans="7:7" ht="14.6" x14ac:dyDescent="0.4">
      <c r="G962" s="3"/>
    </row>
    <row r="963" spans="7:7" ht="14.6" x14ac:dyDescent="0.4">
      <c r="G963" s="3"/>
    </row>
    <row r="964" spans="7:7" ht="14.6" x14ac:dyDescent="0.4">
      <c r="G964" s="3"/>
    </row>
    <row r="965" spans="7:7" ht="14.6" x14ac:dyDescent="0.4">
      <c r="G965" s="3"/>
    </row>
    <row r="966" spans="7:7" ht="14.6" x14ac:dyDescent="0.4">
      <c r="G966" s="3"/>
    </row>
    <row r="967" spans="7:7" ht="14.6" x14ac:dyDescent="0.4">
      <c r="G967" s="3"/>
    </row>
    <row r="968" spans="7:7" ht="14.6" x14ac:dyDescent="0.4">
      <c r="G968" s="3"/>
    </row>
    <row r="969" spans="7:7" ht="14.6" x14ac:dyDescent="0.4">
      <c r="G969" s="3"/>
    </row>
    <row r="970" spans="7:7" ht="14.6" x14ac:dyDescent="0.4">
      <c r="G970" s="3"/>
    </row>
    <row r="971" spans="7:7" ht="14.6" x14ac:dyDescent="0.4">
      <c r="G971" s="3"/>
    </row>
    <row r="972" spans="7:7" ht="14.6" x14ac:dyDescent="0.4">
      <c r="G972" s="3"/>
    </row>
    <row r="973" spans="7:7" ht="14.6" x14ac:dyDescent="0.4">
      <c r="G973" s="3"/>
    </row>
    <row r="974" spans="7:7" ht="14.6" x14ac:dyDescent="0.4">
      <c r="G974" s="3"/>
    </row>
    <row r="975" spans="7:7" ht="14.6" x14ac:dyDescent="0.4">
      <c r="G975" s="3"/>
    </row>
    <row r="976" spans="7:7" ht="14.6" x14ac:dyDescent="0.4">
      <c r="G976" s="3"/>
    </row>
    <row r="977" spans="7:7" ht="14.6" x14ac:dyDescent="0.4">
      <c r="G977" s="3"/>
    </row>
    <row r="978" spans="7:7" ht="14.6" x14ac:dyDescent="0.4">
      <c r="G978" s="3"/>
    </row>
    <row r="979" spans="7:7" ht="14.6" x14ac:dyDescent="0.4">
      <c r="G979" s="3"/>
    </row>
    <row r="980" spans="7:7" ht="14.6" x14ac:dyDescent="0.4">
      <c r="G980" s="3"/>
    </row>
    <row r="981" spans="7:7" ht="14.6" x14ac:dyDescent="0.4">
      <c r="G981" s="3"/>
    </row>
    <row r="982" spans="7:7" ht="14.6" x14ac:dyDescent="0.4">
      <c r="G982" s="3"/>
    </row>
    <row r="983" spans="7:7" ht="14.6" x14ac:dyDescent="0.4">
      <c r="G983" s="3"/>
    </row>
    <row r="984" spans="7:7" ht="14.6" x14ac:dyDescent="0.4">
      <c r="G984" s="3"/>
    </row>
    <row r="985" spans="7:7" ht="14.6" x14ac:dyDescent="0.4">
      <c r="G985" s="3"/>
    </row>
    <row r="986" spans="7:7" ht="14.6" x14ac:dyDescent="0.4">
      <c r="G986" s="3"/>
    </row>
    <row r="987" spans="7:7" ht="14.6" x14ac:dyDescent="0.4">
      <c r="G987" s="3"/>
    </row>
    <row r="988" spans="7:7" ht="14.6" x14ac:dyDescent="0.4">
      <c r="G988" s="3"/>
    </row>
    <row r="989" spans="7:7" ht="14.6" x14ac:dyDescent="0.4">
      <c r="G989" s="3"/>
    </row>
    <row r="990" spans="7:7" ht="14.6" x14ac:dyDescent="0.4">
      <c r="G990" s="3"/>
    </row>
    <row r="991" spans="7:7" ht="14.6" x14ac:dyDescent="0.4">
      <c r="G991" s="3"/>
    </row>
    <row r="992" spans="7:7" ht="14.6" x14ac:dyDescent="0.4">
      <c r="G992" s="3"/>
    </row>
    <row r="993" spans="7:7" ht="14.6" x14ac:dyDescent="0.4">
      <c r="G993" s="3"/>
    </row>
    <row r="994" spans="7:7" ht="14.6" x14ac:dyDescent="0.4">
      <c r="G994" s="3"/>
    </row>
    <row r="995" spans="7:7" ht="14.6" x14ac:dyDescent="0.4">
      <c r="G995" s="3"/>
    </row>
    <row r="996" spans="7:7" ht="14.6" x14ac:dyDescent="0.4">
      <c r="G996" s="3"/>
    </row>
    <row r="997" spans="7:7" ht="14.6" x14ac:dyDescent="0.4">
      <c r="G997" s="3"/>
    </row>
    <row r="998" spans="7:7" ht="14.6" x14ac:dyDescent="0.4">
      <c r="G998" s="3"/>
    </row>
    <row r="999" spans="7:7" ht="14.6" x14ac:dyDescent="0.4">
      <c r="G999" s="3"/>
    </row>
    <row r="1000" spans="7:7" ht="14.6" x14ac:dyDescent="0.4">
      <c r="G1000" s="3"/>
    </row>
  </sheetData>
  <mergeCells count="5">
    <mergeCell ref="M3:N3"/>
    <mergeCell ref="M9:N9"/>
    <mergeCell ref="M15:N15"/>
    <mergeCell ref="M26:N26"/>
    <mergeCell ref="M29:N29"/>
  </mergeCells>
  <conditionalFormatting sqref="K2:K37">
    <cfRule type="cellIs" dxfId="107" priority="1" operator="lessThan">
      <formula>0</formula>
    </cfRule>
    <cfRule type="cellIs" dxfId="106" priority="2" operator="greaterThan">
      <formula>0</formula>
    </cfRule>
    <cfRule type="cellIs" dxfId="105" priority="3" operator="equal">
      <formula>0</formula>
    </cfRule>
  </conditionalFormatting>
  <printOptions horizontalCentered="1" verticalCentered="1"/>
  <pageMargins left="0.45" right="0.45" top="0.75" bottom="0.5" header="0.5" footer="0"/>
  <pageSetup scale="77" orientation="landscape" r:id="rId1"/>
  <headerFooter>
    <oddHeader>&amp;C&amp;"Calibri,Bold"&amp;20
 2019 Budget Requested Recap 3% Personnel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H95"/>
  <sheetViews>
    <sheetView workbookViewId="0">
      <pane xSplit="1" ySplit="1" topLeftCell="B61" activePane="bottomRight" state="frozenSplit"/>
      <selection pane="topRight" activeCell="D1" sqref="D1"/>
      <selection pane="bottomLeft" activeCell="A2" sqref="A2"/>
      <selection pane="bottomRight" activeCell="I87" sqref="I87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7.53515625" style="861" bestFit="1" customWidth="1"/>
    <col min="4" max="4" width="20.3828125" style="861" bestFit="1" customWidth="1"/>
    <col min="5" max="5" width="30.69140625" style="861" customWidth="1"/>
    <col min="6" max="6" width="9.15234375" style="861" bestFit="1" customWidth="1"/>
  </cols>
  <sheetData>
    <row r="1" spans="1:7" s="890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  <c r="G1" s="890" t="s">
        <v>3071</v>
      </c>
    </row>
    <row r="2" spans="1:7" s="878" customFormat="1" thickTop="1" x14ac:dyDescent="0.4">
      <c r="A2" s="854"/>
      <c r="B2" s="855"/>
      <c r="C2" s="854"/>
      <c r="D2" s="854"/>
      <c r="E2" s="885"/>
      <c r="F2" s="886"/>
    </row>
    <row r="3" spans="1:7" ht="14.6" x14ac:dyDescent="0.4">
      <c r="A3" s="854"/>
      <c r="B3" s="855"/>
      <c r="C3" s="854"/>
      <c r="D3" s="854"/>
      <c r="E3" s="854"/>
      <c r="F3" s="856"/>
    </row>
    <row r="4" spans="1:7" ht="14.6" x14ac:dyDescent="0.4">
      <c r="A4" s="854" t="s">
        <v>576</v>
      </c>
      <c r="B4" s="855">
        <v>43479</v>
      </c>
      <c r="C4" s="854" t="s">
        <v>663</v>
      </c>
      <c r="D4" s="854" t="s">
        <v>594</v>
      </c>
      <c r="E4" s="854" t="s">
        <v>672</v>
      </c>
      <c r="F4" s="856">
        <v>110.36</v>
      </c>
    </row>
    <row r="5" spans="1:7" ht="14.6" x14ac:dyDescent="0.4">
      <c r="A5" s="854" t="s">
        <v>576</v>
      </c>
      <c r="B5" s="855">
        <v>43479</v>
      </c>
      <c r="C5" s="854" t="s">
        <v>663</v>
      </c>
      <c r="D5" s="854" t="s">
        <v>594</v>
      </c>
      <c r="E5" s="854" t="s">
        <v>673</v>
      </c>
      <c r="F5" s="856">
        <v>68.31</v>
      </c>
    </row>
    <row r="6" spans="1:7" ht="14.6" x14ac:dyDescent="0.4">
      <c r="A6" s="854" t="s">
        <v>576</v>
      </c>
      <c r="B6" s="855">
        <v>43479</v>
      </c>
      <c r="C6" s="854" t="s">
        <v>663</v>
      </c>
      <c r="D6" s="854" t="s">
        <v>594</v>
      </c>
      <c r="E6" s="854" t="s">
        <v>674</v>
      </c>
      <c r="F6" s="856">
        <v>40.99</v>
      </c>
    </row>
    <row r="7" spans="1:7" ht="14.6" x14ac:dyDescent="0.4">
      <c r="A7" s="854" t="s">
        <v>576</v>
      </c>
      <c r="B7" s="855">
        <v>43479</v>
      </c>
      <c r="C7" s="854" t="s">
        <v>663</v>
      </c>
      <c r="D7" s="854" t="s">
        <v>594</v>
      </c>
      <c r="E7" s="854" t="s">
        <v>675</v>
      </c>
      <c r="F7" s="856">
        <v>8.99</v>
      </c>
    </row>
    <row r="8" spans="1:7" ht="14.6" x14ac:dyDescent="0.4">
      <c r="A8" s="854" t="s">
        <v>576</v>
      </c>
      <c r="B8" s="855">
        <v>43479</v>
      </c>
      <c r="C8" s="854" t="s">
        <v>663</v>
      </c>
      <c r="D8" s="854" t="s">
        <v>594</v>
      </c>
      <c r="E8" s="854" t="s">
        <v>676</v>
      </c>
      <c r="F8" s="856">
        <v>7.99</v>
      </c>
    </row>
    <row r="9" spans="1:7" ht="14.6" x14ac:dyDescent="0.4">
      <c r="A9" s="854" t="s">
        <v>576</v>
      </c>
      <c r="B9" s="855">
        <v>43487</v>
      </c>
      <c r="C9" s="854" t="s">
        <v>664</v>
      </c>
      <c r="D9" s="854" t="s">
        <v>594</v>
      </c>
      <c r="E9" s="854" t="s">
        <v>677</v>
      </c>
      <c r="F9" s="856">
        <v>0</v>
      </c>
    </row>
    <row r="10" spans="1:7" ht="14.6" x14ac:dyDescent="0.4">
      <c r="A10" s="854" t="s">
        <v>576</v>
      </c>
      <c r="B10" s="855">
        <v>43487</v>
      </c>
      <c r="C10" s="854" t="s">
        <v>664</v>
      </c>
      <c r="D10" s="854" t="s">
        <v>594</v>
      </c>
      <c r="E10" s="854" t="s">
        <v>678</v>
      </c>
      <c r="F10" s="856">
        <v>37.61</v>
      </c>
    </row>
    <row r="11" spans="1:7" ht="14.6" x14ac:dyDescent="0.4">
      <c r="A11" s="854" t="s">
        <v>576</v>
      </c>
      <c r="B11" s="855">
        <v>43487</v>
      </c>
      <c r="C11" s="854" t="s">
        <v>665</v>
      </c>
      <c r="D11" s="854" t="s">
        <v>594</v>
      </c>
      <c r="E11" s="854" t="s">
        <v>677</v>
      </c>
      <c r="F11" s="856">
        <v>160</v>
      </c>
    </row>
    <row r="12" spans="1:7" ht="14.6" x14ac:dyDescent="0.4">
      <c r="A12" s="854" t="s">
        <v>576</v>
      </c>
      <c r="B12" s="855">
        <v>43488</v>
      </c>
      <c r="C12" s="854" t="s">
        <v>666</v>
      </c>
      <c r="D12" s="854" t="s">
        <v>670</v>
      </c>
      <c r="E12" s="854" t="s">
        <v>679</v>
      </c>
      <c r="F12" s="856">
        <v>1447.88</v>
      </c>
    </row>
    <row r="13" spans="1:7" ht="14.6" x14ac:dyDescent="0.4">
      <c r="A13" s="854" t="s">
        <v>576</v>
      </c>
      <c r="B13" s="855">
        <v>43488</v>
      </c>
      <c r="C13" s="854" t="s">
        <v>667</v>
      </c>
      <c r="D13" s="854" t="s">
        <v>594</v>
      </c>
      <c r="E13" s="854" t="s">
        <v>680</v>
      </c>
      <c r="F13" s="856">
        <v>53.99</v>
      </c>
    </row>
    <row r="14" spans="1:7" ht="14.6" x14ac:dyDescent="0.4">
      <c r="A14" s="854" t="s">
        <v>575</v>
      </c>
      <c r="B14" s="855">
        <v>43494</v>
      </c>
      <c r="C14" s="854" t="s">
        <v>668</v>
      </c>
      <c r="D14" s="854" t="s">
        <v>671</v>
      </c>
      <c r="E14" s="854" t="s">
        <v>681</v>
      </c>
      <c r="F14" s="856">
        <v>299.16000000000003</v>
      </c>
    </row>
    <row r="15" spans="1:7" ht="14.6" x14ac:dyDescent="0.4">
      <c r="A15" s="854" t="s">
        <v>576</v>
      </c>
      <c r="B15" s="855">
        <v>43515</v>
      </c>
      <c r="C15" s="854" t="s">
        <v>669</v>
      </c>
      <c r="D15" s="854" t="s">
        <v>594</v>
      </c>
      <c r="E15" s="854" t="s">
        <v>682</v>
      </c>
      <c r="F15" s="856">
        <v>114</v>
      </c>
    </row>
    <row r="16" spans="1:7" ht="14.6" x14ac:dyDescent="0.4">
      <c r="A16" s="854" t="s">
        <v>576</v>
      </c>
      <c r="B16" s="855">
        <v>43530</v>
      </c>
      <c r="C16" s="854" t="s">
        <v>1159</v>
      </c>
      <c r="D16" s="854" t="s">
        <v>594</v>
      </c>
      <c r="E16" s="854" t="s">
        <v>1210</v>
      </c>
      <c r="F16" s="856">
        <v>0</v>
      </c>
    </row>
    <row r="17" spans="1:6" ht="14.6" x14ac:dyDescent="0.4">
      <c r="A17" s="854" t="s">
        <v>576</v>
      </c>
      <c r="B17" s="855">
        <v>43530</v>
      </c>
      <c r="C17" s="854" t="s">
        <v>1159</v>
      </c>
      <c r="D17" s="854" t="s">
        <v>594</v>
      </c>
      <c r="E17" s="854" t="s">
        <v>1211</v>
      </c>
      <c r="F17" s="856">
        <v>150</v>
      </c>
    </row>
    <row r="18" spans="1:6" ht="14.6" x14ac:dyDescent="0.4">
      <c r="A18" s="854" t="s">
        <v>576</v>
      </c>
      <c r="B18" s="855">
        <v>43530</v>
      </c>
      <c r="C18" s="854" t="s">
        <v>1159</v>
      </c>
      <c r="D18" s="854" t="s">
        <v>594</v>
      </c>
      <c r="E18" s="854" t="s">
        <v>1212</v>
      </c>
      <c r="F18" s="856">
        <v>44</v>
      </c>
    </row>
    <row r="19" spans="1:6" ht="14.6" x14ac:dyDescent="0.4">
      <c r="A19" s="854" t="s">
        <v>576</v>
      </c>
      <c r="B19" s="855">
        <v>43530</v>
      </c>
      <c r="C19" s="854" t="s">
        <v>1159</v>
      </c>
      <c r="D19" s="854" t="s">
        <v>594</v>
      </c>
      <c r="E19" s="854" t="s">
        <v>1213</v>
      </c>
      <c r="F19" s="856">
        <v>19.989999999999998</v>
      </c>
    </row>
    <row r="20" spans="1:6" ht="14.6" x14ac:dyDescent="0.4">
      <c r="A20" s="854" t="s">
        <v>576</v>
      </c>
      <c r="B20" s="855">
        <v>43535</v>
      </c>
      <c r="C20" s="854" t="s">
        <v>1160</v>
      </c>
      <c r="D20" s="854" t="s">
        <v>594</v>
      </c>
      <c r="E20" s="854" t="s">
        <v>1210</v>
      </c>
      <c r="F20" s="856">
        <v>169.38</v>
      </c>
    </row>
    <row r="21" spans="1:6" ht="14.6" x14ac:dyDescent="0.4">
      <c r="A21" s="854" t="s">
        <v>576</v>
      </c>
      <c r="B21" s="855">
        <v>43542</v>
      </c>
      <c r="C21" s="854" t="s">
        <v>1167</v>
      </c>
      <c r="D21" s="854" t="s">
        <v>594</v>
      </c>
      <c r="E21" s="854" t="s">
        <v>1210</v>
      </c>
      <c r="F21" s="856">
        <v>0</v>
      </c>
    </row>
    <row r="22" spans="1:6" ht="14.6" x14ac:dyDescent="0.4">
      <c r="A22" s="854" t="s">
        <v>576</v>
      </c>
      <c r="B22" s="855">
        <v>43542</v>
      </c>
      <c r="C22" s="854" t="s">
        <v>1167</v>
      </c>
      <c r="D22" s="854" t="s">
        <v>594</v>
      </c>
      <c r="E22" s="854" t="s">
        <v>1211</v>
      </c>
      <c r="F22" s="856">
        <v>0</v>
      </c>
    </row>
    <row r="23" spans="1:6" ht="14.6" x14ac:dyDescent="0.4">
      <c r="A23" s="854" t="s">
        <v>576</v>
      </c>
      <c r="B23" s="855">
        <v>43542</v>
      </c>
      <c r="C23" s="854" t="s">
        <v>1167</v>
      </c>
      <c r="D23" s="854" t="s">
        <v>594</v>
      </c>
      <c r="E23" s="854" t="s">
        <v>1212</v>
      </c>
      <c r="F23" s="856">
        <v>51.99</v>
      </c>
    </row>
    <row r="24" spans="1:6" ht="14.6" x14ac:dyDescent="0.4">
      <c r="A24" s="854" t="s">
        <v>576</v>
      </c>
      <c r="B24" s="855">
        <v>43542</v>
      </c>
      <c r="C24" s="854" t="s">
        <v>1167</v>
      </c>
      <c r="D24" s="854" t="s">
        <v>594</v>
      </c>
      <c r="E24" s="854" t="s">
        <v>1213</v>
      </c>
      <c r="F24" s="856">
        <v>0</v>
      </c>
    </row>
    <row r="25" spans="1:6" ht="14.6" x14ac:dyDescent="0.4">
      <c r="A25" s="854" t="s">
        <v>576</v>
      </c>
      <c r="B25" s="855">
        <v>43563</v>
      </c>
      <c r="C25" s="854" t="s">
        <v>1209</v>
      </c>
      <c r="D25" s="854" t="s">
        <v>594</v>
      </c>
      <c r="E25" s="854" t="s">
        <v>1214</v>
      </c>
      <c r="F25" s="856">
        <v>10.210000000000001</v>
      </c>
    </row>
    <row r="26" spans="1:6" ht="14.6" x14ac:dyDescent="0.4">
      <c r="A26" s="854" t="s">
        <v>576</v>
      </c>
      <c r="B26" s="855">
        <v>43563</v>
      </c>
      <c r="C26" s="854" t="s">
        <v>1209</v>
      </c>
      <c r="D26" s="854" t="s">
        <v>594</v>
      </c>
      <c r="E26" s="854" t="s">
        <v>1215</v>
      </c>
      <c r="F26" s="856">
        <v>19.96</v>
      </c>
    </row>
    <row r="27" spans="1:6" ht="14.6" x14ac:dyDescent="0.4">
      <c r="A27" s="854" t="s">
        <v>576</v>
      </c>
      <c r="B27" s="855">
        <v>43563</v>
      </c>
      <c r="C27" s="854" t="s">
        <v>1209</v>
      </c>
      <c r="D27" s="854" t="s">
        <v>594</v>
      </c>
      <c r="E27" s="854" t="s">
        <v>1216</v>
      </c>
      <c r="F27" s="856">
        <v>130.83000000000001</v>
      </c>
    </row>
    <row r="28" spans="1:6" ht="14.6" x14ac:dyDescent="0.4">
      <c r="A28" s="854" t="s">
        <v>576</v>
      </c>
      <c r="B28" s="855">
        <v>43563</v>
      </c>
      <c r="C28" s="854" t="s">
        <v>1209</v>
      </c>
      <c r="D28" s="854" t="s">
        <v>594</v>
      </c>
      <c r="E28" s="854" t="s">
        <v>1217</v>
      </c>
      <c r="F28" s="856">
        <v>35.97</v>
      </c>
    </row>
    <row r="29" spans="1:6" ht="14.6" x14ac:dyDescent="0.4">
      <c r="A29" s="854" t="s">
        <v>576</v>
      </c>
      <c r="B29" s="855">
        <v>43563</v>
      </c>
      <c r="C29" s="854" t="s">
        <v>1209</v>
      </c>
      <c r="D29" s="854" t="s">
        <v>594</v>
      </c>
      <c r="E29" s="854" t="s">
        <v>1218</v>
      </c>
      <c r="F29" s="856">
        <v>-1.08</v>
      </c>
    </row>
    <row r="30" spans="1:6" ht="14.6" x14ac:dyDescent="0.4">
      <c r="A30" s="854" t="s">
        <v>576</v>
      </c>
      <c r="B30" s="855">
        <v>43572</v>
      </c>
      <c r="C30" s="854" t="s">
        <v>1567</v>
      </c>
      <c r="D30" s="854" t="s">
        <v>594</v>
      </c>
      <c r="E30" s="854" t="s">
        <v>1570</v>
      </c>
      <c r="F30" s="856">
        <v>229.95</v>
      </c>
    </row>
    <row r="31" spans="1:6" ht="14.6" x14ac:dyDescent="0.4">
      <c r="A31" s="854" t="s">
        <v>576</v>
      </c>
      <c r="B31" s="855">
        <v>43572</v>
      </c>
      <c r="C31" s="854" t="s">
        <v>1567</v>
      </c>
      <c r="D31" s="854" t="s">
        <v>594</v>
      </c>
      <c r="E31" s="854" t="s">
        <v>1571</v>
      </c>
      <c r="F31" s="856">
        <v>19.989999999999998</v>
      </c>
    </row>
    <row r="32" spans="1:6" ht="14.6" x14ac:dyDescent="0.4">
      <c r="A32" s="854" t="s">
        <v>576</v>
      </c>
      <c r="B32" s="855">
        <v>43598</v>
      </c>
      <c r="C32" s="854" t="s">
        <v>1568</v>
      </c>
      <c r="D32" s="854" t="s">
        <v>1569</v>
      </c>
      <c r="E32" s="854" t="s">
        <v>1572</v>
      </c>
      <c r="F32" s="856">
        <v>1009.6</v>
      </c>
    </row>
    <row r="33" spans="1:7" ht="14.6" x14ac:dyDescent="0.4">
      <c r="A33" s="854" t="s">
        <v>576</v>
      </c>
      <c r="B33" s="855">
        <v>43598</v>
      </c>
      <c r="C33" s="854" t="s">
        <v>1568</v>
      </c>
      <c r="D33" s="854" t="s">
        <v>1569</v>
      </c>
      <c r="E33" s="854" t="s">
        <v>1573</v>
      </c>
      <c r="F33" s="856">
        <v>741.41</v>
      </c>
    </row>
    <row r="34" spans="1:7" ht="14.6" x14ac:dyDescent="0.4">
      <c r="A34" s="854" t="s">
        <v>576</v>
      </c>
      <c r="B34" s="855">
        <v>43598</v>
      </c>
      <c r="C34" s="854" t="s">
        <v>1568</v>
      </c>
      <c r="D34" s="854" t="s">
        <v>1569</v>
      </c>
      <c r="E34" s="854" t="s">
        <v>1574</v>
      </c>
      <c r="F34" s="856">
        <v>102.43</v>
      </c>
    </row>
    <row r="35" spans="1:7" ht="14.6" x14ac:dyDescent="0.4">
      <c r="A35" s="854" t="s">
        <v>576</v>
      </c>
      <c r="B35" s="855">
        <v>43598</v>
      </c>
      <c r="C35" s="854" t="s">
        <v>1568</v>
      </c>
      <c r="D35" s="854" t="s">
        <v>1569</v>
      </c>
      <c r="E35" s="854" t="s">
        <v>1575</v>
      </c>
      <c r="F35" s="856">
        <v>383.36</v>
      </c>
    </row>
    <row r="36" spans="1:7" ht="14.6" x14ac:dyDescent="0.4">
      <c r="A36" s="854" t="s">
        <v>576</v>
      </c>
      <c r="B36" s="855">
        <v>43598</v>
      </c>
      <c r="C36" s="854" t="s">
        <v>1568</v>
      </c>
      <c r="D36" s="854" t="s">
        <v>1569</v>
      </c>
      <c r="E36" s="854" t="s">
        <v>1576</v>
      </c>
      <c r="F36" s="856">
        <v>200</v>
      </c>
    </row>
    <row r="37" spans="1:7" ht="14.6" x14ac:dyDescent="0.4">
      <c r="A37" s="854" t="s">
        <v>576</v>
      </c>
      <c r="B37" s="855">
        <v>43598</v>
      </c>
      <c r="C37" s="854" t="s">
        <v>1568</v>
      </c>
      <c r="D37" s="854" t="s">
        <v>1569</v>
      </c>
      <c r="E37" s="854" t="s">
        <v>1577</v>
      </c>
      <c r="F37" s="856">
        <v>350</v>
      </c>
    </row>
    <row r="38" spans="1:7" ht="14.6" x14ac:dyDescent="0.4">
      <c r="A38" s="854" t="s">
        <v>575</v>
      </c>
      <c r="B38" s="855">
        <v>43605</v>
      </c>
      <c r="C38" s="854" t="s">
        <v>1729</v>
      </c>
      <c r="D38" s="854" t="s">
        <v>685</v>
      </c>
      <c r="E38" s="854" t="s">
        <v>1731</v>
      </c>
      <c r="F38" s="856">
        <v>1299.98</v>
      </c>
    </row>
    <row r="39" spans="1:7" ht="14.6" x14ac:dyDescent="0.4">
      <c r="A39" s="854" t="s">
        <v>576</v>
      </c>
      <c r="B39" s="855">
        <v>43607</v>
      </c>
      <c r="C39" s="854" t="s">
        <v>1730</v>
      </c>
      <c r="D39" s="854" t="s">
        <v>594</v>
      </c>
      <c r="E39" s="854" t="s">
        <v>1732</v>
      </c>
      <c r="F39" s="856">
        <v>26.37</v>
      </c>
    </row>
    <row r="40" spans="1:7" ht="14.6" x14ac:dyDescent="0.4">
      <c r="A40" s="854" t="s">
        <v>576</v>
      </c>
      <c r="B40" s="855">
        <v>43642</v>
      </c>
      <c r="C40" s="854" t="s">
        <v>1907</v>
      </c>
      <c r="D40" s="854" t="s">
        <v>594</v>
      </c>
      <c r="E40" s="854" t="s">
        <v>1912</v>
      </c>
      <c r="G40" s="856">
        <v>7927.4</v>
      </c>
    </row>
    <row r="41" spans="1:7" ht="14.6" x14ac:dyDescent="0.4">
      <c r="A41" s="854" t="s">
        <v>576</v>
      </c>
      <c r="B41" s="855">
        <v>43642</v>
      </c>
      <c r="C41" s="854" t="s">
        <v>1907</v>
      </c>
      <c r="D41" s="854" t="s">
        <v>594</v>
      </c>
      <c r="E41" s="854" t="s">
        <v>1913</v>
      </c>
      <c r="G41" s="856">
        <v>0</v>
      </c>
    </row>
    <row r="42" spans="1:7" ht="14.6" x14ac:dyDescent="0.4">
      <c r="A42" s="854" t="s">
        <v>576</v>
      </c>
      <c r="B42" s="855">
        <v>43642</v>
      </c>
      <c r="C42" s="854" t="s">
        <v>1908</v>
      </c>
      <c r="D42" s="854" t="s">
        <v>594</v>
      </c>
      <c r="E42" s="854" t="s">
        <v>1913</v>
      </c>
      <c r="G42" s="856">
        <v>5873.75</v>
      </c>
    </row>
    <row r="43" spans="1:7" ht="14.6" x14ac:dyDescent="0.4">
      <c r="A43" s="854" t="s">
        <v>575</v>
      </c>
      <c r="B43" s="855">
        <v>43643</v>
      </c>
      <c r="C43" s="854" t="s">
        <v>1909</v>
      </c>
      <c r="D43" s="854" t="s">
        <v>1221</v>
      </c>
      <c r="E43" s="854" t="s">
        <v>1914</v>
      </c>
      <c r="F43" s="856">
        <v>630</v>
      </c>
    </row>
    <row r="44" spans="1:7" ht="14.6" x14ac:dyDescent="0.4">
      <c r="A44" s="854" t="s">
        <v>575</v>
      </c>
      <c r="B44" s="855">
        <v>43643</v>
      </c>
      <c r="C44" s="854" t="s">
        <v>1909</v>
      </c>
      <c r="D44" s="854" t="s">
        <v>1221</v>
      </c>
      <c r="E44" s="854" t="s">
        <v>2815</v>
      </c>
      <c r="F44" s="856">
        <v>89.99</v>
      </c>
    </row>
    <row r="45" spans="1:7" ht="14.6" x14ac:dyDescent="0.4">
      <c r="A45" s="854" t="s">
        <v>575</v>
      </c>
      <c r="B45" s="855">
        <v>43643</v>
      </c>
      <c r="C45" s="854" t="s">
        <v>1909</v>
      </c>
      <c r="D45" s="854" t="s">
        <v>1221</v>
      </c>
      <c r="E45" s="854" t="s">
        <v>1915</v>
      </c>
      <c r="F45" s="856">
        <v>53.94</v>
      </c>
    </row>
    <row r="46" spans="1:7" ht="14.6" x14ac:dyDescent="0.4">
      <c r="A46" s="854" t="s">
        <v>575</v>
      </c>
      <c r="B46" s="855">
        <v>43643</v>
      </c>
      <c r="C46" s="854" t="s">
        <v>1909</v>
      </c>
      <c r="D46" s="854" t="s">
        <v>1221</v>
      </c>
      <c r="E46" s="854" t="s">
        <v>1916</v>
      </c>
      <c r="F46" s="856">
        <v>29.45</v>
      </c>
    </row>
    <row r="47" spans="1:7" ht="14.6" x14ac:dyDescent="0.4">
      <c r="A47" s="854" t="s">
        <v>575</v>
      </c>
      <c r="B47" s="855">
        <v>43655</v>
      </c>
      <c r="C47" s="854" t="s">
        <v>1910</v>
      </c>
      <c r="D47" s="854" t="s">
        <v>1911</v>
      </c>
      <c r="E47" s="854" t="s">
        <v>1917</v>
      </c>
      <c r="F47" s="856">
        <v>837</v>
      </c>
    </row>
    <row r="48" spans="1:7" ht="14.6" x14ac:dyDescent="0.4">
      <c r="A48" s="854" t="s">
        <v>575</v>
      </c>
      <c r="B48" s="855">
        <v>43655</v>
      </c>
      <c r="C48" s="854" t="s">
        <v>1910</v>
      </c>
      <c r="D48" s="854" t="s">
        <v>1911</v>
      </c>
      <c r="E48" s="854" t="s">
        <v>1918</v>
      </c>
      <c r="F48" s="856">
        <v>89.97</v>
      </c>
    </row>
    <row r="49" spans="1:6" ht="14.6" x14ac:dyDescent="0.4">
      <c r="A49" s="854" t="s">
        <v>575</v>
      </c>
      <c r="B49" s="855">
        <v>43655</v>
      </c>
      <c r="C49" s="854" t="s">
        <v>1910</v>
      </c>
      <c r="D49" s="854" t="s">
        <v>1911</v>
      </c>
      <c r="E49" s="854" t="s">
        <v>1919</v>
      </c>
      <c r="F49" s="856">
        <v>44.97</v>
      </c>
    </row>
    <row r="50" spans="1:6" ht="14.6" x14ac:dyDescent="0.4">
      <c r="A50" s="854" t="s">
        <v>575</v>
      </c>
      <c r="B50" s="855">
        <v>43655</v>
      </c>
      <c r="C50" s="854" t="s">
        <v>1910</v>
      </c>
      <c r="D50" s="854" t="s">
        <v>1911</v>
      </c>
      <c r="E50" s="854" t="s">
        <v>1920</v>
      </c>
      <c r="F50" s="856">
        <v>85.6</v>
      </c>
    </row>
    <row r="51" spans="1:6" ht="14.6" x14ac:dyDescent="0.4">
      <c r="A51" s="854" t="s">
        <v>576</v>
      </c>
      <c r="B51" s="855">
        <v>43668</v>
      </c>
      <c r="C51" s="854" t="s">
        <v>2158</v>
      </c>
      <c r="D51" s="854" t="s">
        <v>594</v>
      </c>
      <c r="E51" s="854" t="s">
        <v>2161</v>
      </c>
      <c r="F51" s="856">
        <v>63</v>
      </c>
    </row>
    <row r="52" spans="1:6" ht="14.6" x14ac:dyDescent="0.4">
      <c r="A52" s="854" t="s">
        <v>576</v>
      </c>
      <c r="B52" s="855">
        <v>43668</v>
      </c>
      <c r="C52" s="854" t="s">
        <v>2158</v>
      </c>
      <c r="D52" s="854" t="s">
        <v>594</v>
      </c>
      <c r="E52" s="854" t="s">
        <v>2162</v>
      </c>
      <c r="F52" s="856">
        <v>76.47</v>
      </c>
    </row>
    <row r="53" spans="1:6" ht="14.6" x14ac:dyDescent="0.4">
      <c r="A53" s="854" t="s">
        <v>576</v>
      </c>
      <c r="B53" s="855">
        <v>43676</v>
      </c>
      <c r="C53" s="854" t="s">
        <v>2063</v>
      </c>
      <c r="D53" s="854" t="s">
        <v>594</v>
      </c>
      <c r="E53" s="854" t="s">
        <v>2163</v>
      </c>
      <c r="F53" s="856">
        <v>387.54</v>
      </c>
    </row>
    <row r="54" spans="1:6" ht="14.6" x14ac:dyDescent="0.4">
      <c r="A54" s="854" t="s">
        <v>576</v>
      </c>
      <c r="B54" s="855">
        <v>43695</v>
      </c>
      <c r="C54" s="854" t="s">
        <v>2159</v>
      </c>
      <c r="D54" s="854" t="s">
        <v>670</v>
      </c>
      <c r="E54" s="854" t="s">
        <v>2164</v>
      </c>
      <c r="F54" s="856">
        <v>73.989999999999995</v>
      </c>
    </row>
    <row r="55" spans="1:6" ht="14.6" x14ac:dyDescent="0.4">
      <c r="A55" s="854" t="s">
        <v>576</v>
      </c>
      <c r="B55" s="855">
        <v>43695</v>
      </c>
      <c r="C55" s="854" t="s">
        <v>2159</v>
      </c>
      <c r="D55" s="854" t="s">
        <v>670</v>
      </c>
      <c r="E55" s="854" t="s">
        <v>2165</v>
      </c>
      <c r="F55" s="856">
        <v>69</v>
      </c>
    </row>
    <row r="56" spans="1:6" ht="14.6" x14ac:dyDescent="0.4">
      <c r="A56" s="854" t="s">
        <v>576</v>
      </c>
      <c r="B56" s="855">
        <v>43698</v>
      </c>
      <c r="C56" s="854" t="s">
        <v>2160</v>
      </c>
      <c r="D56" s="854" t="s">
        <v>670</v>
      </c>
      <c r="E56" s="854" t="s">
        <v>2164</v>
      </c>
      <c r="F56" s="856">
        <v>0</v>
      </c>
    </row>
    <row r="57" spans="1:6" ht="14.6" x14ac:dyDescent="0.4">
      <c r="A57" s="854" t="s">
        <v>576</v>
      </c>
      <c r="B57" s="855">
        <v>43698</v>
      </c>
      <c r="C57" s="854" t="s">
        <v>2160</v>
      </c>
      <c r="D57" s="854" t="s">
        <v>670</v>
      </c>
      <c r="E57" s="854" t="s">
        <v>2165</v>
      </c>
      <c r="F57" s="856">
        <v>0</v>
      </c>
    </row>
    <row r="58" spans="1:6" ht="14.6" x14ac:dyDescent="0.4">
      <c r="A58" s="854" t="s">
        <v>576</v>
      </c>
      <c r="B58" s="855">
        <v>43698</v>
      </c>
      <c r="C58" s="854" t="s">
        <v>2160</v>
      </c>
      <c r="D58" s="854" t="s">
        <v>670</v>
      </c>
      <c r="E58" s="854" t="s">
        <v>2166</v>
      </c>
      <c r="F58" s="856">
        <v>2466</v>
      </c>
    </row>
    <row r="59" spans="1:6" ht="14.6" x14ac:dyDescent="0.4">
      <c r="A59" s="854" t="s">
        <v>576</v>
      </c>
      <c r="B59" s="855">
        <v>43698</v>
      </c>
      <c r="C59" s="854" t="s">
        <v>2160</v>
      </c>
      <c r="D59" s="854" t="s">
        <v>670</v>
      </c>
      <c r="E59" s="854" t="s">
        <v>2167</v>
      </c>
      <c r="F59" s="856">
        <v>36.99</v>
      </c>
    </row>
    <row r="60" spans="1:6" ht="14.6" x14ac:dyDescent="0.4">
      <c r="A60" s="854" t="s">
        <v>576</v>
      </c>
      <c r="B60" s="855">
        <v>43698</v>
      </c>
      <c r="C60" s="854" t="s">
        <v>2160</v>
      </c>
      <c r="D60" s="854" t="s">
        <v>670</v>
      </c>
      <c r="E60" s="854" t="s">
        <v>2168</v>
      </c>
      <c r="F60" s="856">
        <v>244.2</v>
      </c>
    </row>
    <row r="61" spans="1:6" ht="14.6" x14ac:dyDescent="0.4">
      <c r="A61" s="854" t="s">
        <v>576</v>
      </c>
      <c r="B61" s="855">
        <v>43703</v>
      </c>
      <c r="C61" s="854" t="s">
        <v>2075</v>
      </c>
      <c r="D61" s="854" t="s">
        <v>594</v>
      </c>
      <c r="E61" s="854" t="s">
        <v>2169</v>
      </c>
      <c r="F61" s="856">
        <v>44.45</v>
      </c>
    </row>
    <row r="62" spans="1:6" ht="14.6" x14ac:dyDescent="0.4">
      <c r="A62" s="854" t="s">
        <v>576</v>
      </c>
      <c r="B62" s="855">
        <v>43704</v>
      </c>
      <c r="C62" s="854" t="s">
        <v>2078</v>
      </c>
      <c r="D62" s="854" t="s">
        <v>594</v>
      </c>
      <c r="E62" s="854" t="s">
        <v>2170</v>
      </c>
      <c r="F62" s="856">
        <v>1399.98</v>
      </c>
    </row>
    <row r="63" spans="1:6" ht="14.6" x14ac:dyDescent="0.4">
      <c r="A63" s="854" t="s">
        <v>576</v>
      </c>
      <c r="B63" s="855">
        <v>43704</v>
      </c>
      <c r="C63" s="854" t="s">
        <v>2078</v>
      </c>
      <c r="D63" s="854" t="s">
        <v>594</v>
      </c>
      <c r="E63" s="854" t="s">
        <v>2171</v>
      </c>
      <c r="F63" s="856">
        <v>57.98</v>
      </c>
    </row>
    <row r="64" spans="1:6" ht="14.6" x14ac:dyDescent="0.4">
      <c r="A64" s="854" t="s">
        <v>576</v>
      </c>
      <c r="B64" s="855">
        <v>43704</v>
      </c>
      <c r="C64" s="854" t="s">
        <v>2078</v>
      </c>
      <c r="D64" s="854" t="s">
        <v>594</v>
      </c>
      <c r="E64" s="854" t="s">
        <v>2172</v>
      </c>
      <c r="F64" s="856">
        <v>26.97</v>
      </c>
    </row>
    <row r="65" spans="1:6" ht="14.6" x14ac:dyDescent="0.4">
      <c r="A65" s="854" t="s">
        <v>576</v>
      </c>
      <c r="B65" s="855">
        <v>43704</v>
      </c>
      <c r="C65" s="854" t="s">
        <v>2078</v>
      </c>
      <c r="D65" s="854" t="s">
        <v>594</v>
      </c>
      <c r="E65" s="854" t="s">
        <v>2173</v>
      </c>
      <c r="F65" s="856">
        <v>27.96</v>
      </c>
    </row>
    <row r="66" spans="1:6" ht="14.6" x14ac:dyDescent="0.4">
      <c r="A66" s="854" t="s">
        <v>576</v>
      </c>
      <c r="B66" s="855">
        <v>43761</v>
      </c>
      <c r="C66" s="854" t="s">
        <v>2456</v>
      </c>
      <c r="D66" s="854" t="s">
        <v>594</v>
      </c>
      <c r="E66" s="854" t="s">
        <v>2457</v>
      </c>
      <c r="F66" s="856">
        <v>8.92</v>
      </c>
    </row>
    <row r="67" spans="1:6" ht="14.6" x14ac:dyDescent="0.4">
      <c r="A67" s="854" t="s">
        <v>1085</v>
      </c>
      <c r="B67" s="855">
        <v>43763</v>
      </c>
      <c r="C67" s="854" t="s">
        <v>3049</v>
      </c>
      <c r="D67" s="854" t="s">
        <v>3053</v>
      </c>
      <c r="E67" s="854" t="s">
        <v>3072</v>
      </c>
      <c r="F67" s="856">
        <v>-64.989999999999995</v>
      </c>
    </row>
    <row r="68" spans="1:6" ht="14.6" x14ac:dyDescent="0.4">
      <c r="A68" s="854" t="s">
        <v>575</v>
      </c>
      <c r="B68" s="855">
        <v>43774</v>
      </c>
      <c r="C68" s="854" t="s">
        <v>2812</v>
      </c>
      <c r="D68" s="854" t="s">
        <v>685</v>
      </c>
      <c r="E68" s="854" t="s">
        <v>2816</v>
      </c>
      <c r="F68" s="856">
        <v>899.98</v>
      </c>
    </row>
    <row r="69" spans="1:6" ht="14.6" x14ac:dyDescent="0.4">
      <c r="A69" s="854" t="s">
        <v>575</v>
      </c>
      <c r="B69" s="855">
        <v>43774</v>
      </c>
      <c r="C69" s="854" t="s">
        <v>2812</v>
      </c>
      <c r="D69" s="854" t="s">
        <v>685</v>
      </c>
      <c r="E69" s="854" t="s">
        <v>2817</v>
      </c>
      <c r="F69" s="856">
        <v>19.989999999999998</v>
      </c>
    </row>
    <row r="70" spans="1:6" ht="14.6" x14ac:dyDescent="0.4">
      <c r="A70" s="854" t="s">
        <v>576</v>
      </c>
      <c r="B70" s="855">
        <v>43776</v>
      </c>
      <c r="C70" s="854" t="s">
        <v>2813</v>
      </c>
      <c r="D70" s="854" t="s">
        <v>685</v>
      </c>
      <c r="E70" s="854" t="s">
        <v>2818</v>
      </c>
      <c r="F70" s="856">
        <v>3299.97</v>
      </c>
    </row>
    <row r="71" spans="1:6" ht="14.6" x14ac:dyDescent="0.4">
      <c r="A71" s="854" t="s">
        <v>576</v>
      </c>
      <c r="B71" s="855">
        <v>43776</v>
      </c>
      <c r="C71" s="854" t="s">
        <v>2813</v>
      </c>
      <c r="D71" s="854" t="s">
        <v>685</v>
      </c>
      <c r="E71" s="854" t="s">
        <v>2819</v>
      </c>
      <c r="F71" s="856">
        <v>36.659999999999997</v>
      </c>
    </row>
    <row r="72" spans="1:6" ht="14.6" x14ac:dyDescent="0.4">
      <c r="A72" s="854" t="s">
        <v>576</v>
      </c>
      <c r="B72" s="855">
        <v>43782</v>
      </c>
      <c r="C72" s="854" t="s">
        <v>3016</v>
      </c>
      <c r="D72" s="854" t="s">
        <v>594</v>
      </c>
      <c r="E72" s="854" t="s">
        <v>3055</v>
      </c>
      <c r="F72" s="856">
        <v>76.47</v>
      </c>
    </row>
    <row r="73" spans="1:6" ht="14.6" x14ac:dyDescent="0.4">
      <c r="A73" s="854" t="s">
        <v>576</v>
      </c>
      <c r="B73" s="855">
        <v>43782</v>
      </c>
      <c r="C73" s="854" t="s">
        <v>3016</v>
      </c>
      <c r="D73" s="854" t="s">
        <v>594</v>
      </c>
      <c r="E73" s="854" t="s">
        <v>3056</v>
      </c>
      <c r="F73" s="856">
        <v>44.9</v>
      </c>
    </row>
    <row r="74" spans="1:6" ht="14.6" x14ac:dyDescent="0.4">
      <c r="A74" s="854" t="s">
        <v>576</v>
      </c>
      <c r="B74" s="855">
        <v>43782</v>
      </c>
      <c r="C74" s="854" t="s">
        <v>3016</v>
      </c>
      <c r="D74" s="854" t="s">
        <v>594</v>
      </c>
      <c r="E74" s="854" t="s">
        <v>3057</v>
      </c>
      <c r="F74" s="856">
        <v>51.98</v>
      </c>
    </row>
    <row r="75" spans="1:6" ht="14.6" x14ac:dyDescent="0.4">
      <c r="A75" s="854" t="s">
        <v>576</v>
      </c>
      <c r="B75" s="855">
        <v>43782</v>
      </c>
      <c r="C75" s="854" t="s">
        <v>3016</v>
      </c>
      <c r="D75" s="854" t="s">
        <v>594</v>
      </c>
      <c r="E75" s="854" t="s">
        <v>3058</v>
      </c>
      <c r="F75" s="856">
        <v>349.99</v>
      </c>
    </row>
    <row r="76" spans="1:6" ht="14.6" x14ac:dyDescent="0.4">
      <c r="A76" s="854" t="s">
        <v>576</v>
      </c>
      <c r="B76" s="855">
        <v>43782</v>
      </c>
      <c r="C76" s="854" t="s">
        <v>3016</v>
      </c>
      <c r="D76" s="854" t="s">
        <v>594</v>
      </c>
      <c r="E76" s="854" t="s">
        <v>3059</v>
      </c>
      <c r="F76" s="856">
        <v>1345.05</v>
      </c>
    </row>
    <row r="77" spans="1:6" ht="14.6" x14ac:dyDescent="0.4">
      <c r="A77" s="854" t="s">
        <v>576</v>
      </c>
      <c r="B77" s="855">
        <v>43789</v>
      </c>
      <c r="C77" s="854" t="s">
        <v>2814</v>
      </c>
      <c r="D77" s="854" t="s">
        <v>598</v>
      </c>
      <c r="E77" s="854" t="s">
        <v>2820</v>
      </c>
      <c r="F77" s="856">
        <v>671.6</v>
      </c>
    </row>
    <row r="78" spans="1:6" ht="15" customHeight="1" x14ac:dyDescent="0.4">
      <c r="A78" s="854" t="s">
        <v>576</v>
      </c>
      <c r="B78" s="855">
        <v>43789</v>
      </c>
      <c r="C78" s="854" t="s">
        <v>2814</v>
      </c>
      <c r="D78" s="854" t="s">
        <v>598</v>
      </c>
      <c r="E78" s="854" t="s">
        <v>2821</v>
      </c>
      <c r="F78" s="856">
        <v>151.6</v>
      </c>
    </row>
    <row r="79" spans="1:6" ht="15" customHeight="1" x14ac:dyDescent="0.4">
      <c r="A79" s="854" t="s">
        <v>576</v>
      </c>
      <c r="B79" s="855">
        <v>43789</v>
      </c>
      <c r="C79" s="854" t="s">
        <v>2814</v>
      </c>
      <c r="D79" s="854" t="s">
        <v>598</v>
      </c>
      <c r="E79" s="854" t="s">
        <v>2822</v>
      </c>
      <c r="F79" s="856">
        <v>238.9</v>
      </c>
    </row>
    <row r="80" spans="1:6" ht="15" customHeight="1" x14ac:dyDescent="0.4">
      <c r="A80" s="854" t="s">
        <v>576</v>
      </c>
      <c r="B80" s="855">
        <v>43791</v>
      </c>
      <c r="C80" s="854" t="s">
        <v>3018</v>
      </c>
      <c r="D80" s="854" t="s">
        <v>596</v>
      </c>
      <c r="E80" s="854" t="s">
        <v>3060</v>
      </c>
      <c r="F80" s="856">
        <v>3158.75</v>
      </c>
    </row>
    <row r="81" spans="1:8" ht="15" customHeight="1" x14ac:dyDescent="0.4">
      <c r="A81" s="854" t="s">
        <v>576</v>
      </c>
      <c r="B81" s="855">
        <v>43799</v>
      </c>
      <c r="C81" s="854"/>
      <c r="D81" s="854" t="s">
        <v>685</v>
      </c>
      <c r="E81" s="854" t="s">
        <v>3061</v>
      </c>
      <c r="F81" s="856">
        <v>6495</v>
      </c>
    </row>
    <row r="82" spans="1:8" ht="15" customHeight="1" x14ac:dyDescent="0.4">
      <c r="A82" s="854" t="s">
        <v>576</v>
      </c>
      <c r="B82" s="855">
        <v>43799</v>
      </c>
      <c r="C82" s="854"/>
      <c r="D82" s="854" t="s">
        <v>685</v>
      </c>
      <c r="E82" s="854" t="s">
        <v>3062</v>
      </c>
      <c r="F82" s="856">
        <v>1998</v>
      </c>
    </row>
    <row r="83" spans="1:8" ht="15" customHeight="1" x14ac:dyDescent="0.4">
      <c r="A83" s="854" t="s">
        <v>576</v>
      </c>
      <c r="B83" s="855">
        <v>43799</v>
      </c>
      <c r="C83" s="854"/>
      <c r="D83" s="854" t="s">
        <v>685</v>
      </c>
      <c r="E83" s="854" t="s">
        <v>3063</v>
      </c>
      <c r="F83" s="856">
        <v>567.96</v>
      </c>
    </row>
    <row r="84" spans="1:8" ht="15" customHeight="1" x14ac:dyDescent="0.4">
      <c r="A84" s="854" t="s">
        <v>576</v>
      </c>
      <c r="B84" s="855">
        <v>43799</v>
      </c>
      <c r="C84" s="854"/>
      <c r="D84" s="854" t="s">
        <v>685</v>
      </c>
      <c r="E84" s="854" t="s">
        <v>3064</v>
      </c>
      <c r="F84" s="856">
        <v>1749.95</v>
      </c>
    </row>
    <row r="85" spans="1:8" ht="15" customHeight="1" x14ac:dyDescent="0.4">
      <c r="A85" s="854" t="s">
        <v>576</v>
      </c>
      <c r="B85" s="855">
        <v>43799</v>
      </c>
      <c r="C85" s="854"/>
      <c r="D85" s="854" t="s">
        <v>685</v>
      </c>
      <c r="E85" s="854" t="s">
        <v>3065</v>
      </c>
      <c r="F85" s="856">
        <v>98.53</v>
      </c>
    </row>
    <row r="86" spans="1:8" ht="15" customHeight="1" x14ac:dyDescent="0.4">
      <c r="A86" s="854" t="s">
        <v>576</v>
      </c>
      <c r="B86" s="855">
        <v>43802</v>
      </c>
      <c r="C86" s="854" t="s">
        <v>3050</v>
      </c>
      <c r="D86" s="854" t="s">
        <v>1095</v>
      </c>
      <c r="E86" s="854" t="s">
        <v>3066</v>
      </c>
      <c r="F86" s="856">
        <v>598.42999999999995</v>
      </c>
    </row>
    <row r="87" spans="1:8" ht="15" customHeight="1" x14ac:dyDescent="0.4">
      <c r="A87" s="854" t="s">
        <v>576</v>
      </c>
      <c r="B87" s="855">
        <v>43809</v>
      </c>
      <c r="C87" s="854" t="s">
        <v>3029</v>
      </c>
      <c r="D87" s="854" t="s">
        <v>594</v>
      </c>
      <c r="E87" s="854" t="s">
        <v>3067</v>
      </c>
      <c r="F87" s="856">
        <v>95.97</v>
      </c>
    </row>
    <row r="88" spans="1:8" ht="15" customHeight="1" x14ac:dyDescent="0.4">
      <c r="A88" s="854" t="s">
        <v>576</v>
      </c>
      <c r="B88" s="855">
        <v>43809</v>
      </c>
      <c r="C88" s="854" t="s">
        <v>3029</v>
      </c>
      <c r="D88" s="854" t="s">
        <v>594</v>
      </c>
      <c r="E88" s="854" t="s">
        <v>3068</v>
      </c>
      <c r="F88" s="856">
        <v>25.99</v>
      </c>
    </row>
    <row r="89" spans="1:8" ht="15" customHeight="1" x14ac:dyDescent="0.4">
      <c r="A89" s="854" t="s">
        <v>1085</v>
      </c>
      <c r="B89" s="855">
        <v>43810</v>
      </c>
      <c r="C89" s="854" t="s">
        <v>3051</v>
      </c>
      <c r="D89" s="854" t="s">
        <v>3054</v>
      </c>
      <c r="E89" s="854" t="s">
        <v>3073</v>
      </c>
      <c r="F89" s="856">
        <v>-940</v>
      </c>
    </row>
    <row r="90" spans="1:8" ht="15" customHeight="1" x14ac:dyDescent="0.4">
      <c r="A90" s="854" t="s">
        <v>576</v>
      </c>
      <c r="B90" s="855">
        <v>43811</v>
      </c>
      <c r="C90" s="854" t="s">
        <v>3052</v>
      </c>
      <c r="D90" s="854" t="s">
        <v>685</v>
      </c>
      <c r="E90" s="854" t="s">
        <v>3069</v>
      </c>
      <c r="F90" s="856">
        <v>2199.96</v>
      </c>
    </row>
    <row r="91" spans="1:8" ht="15" customHeight="1" thickBot="1" x14ac:dyDescent="0.45">
      <c r="A91" s="854" t="s">
        <v>576</v>
      </c>
      <c r="B91" s="855">
        <v>43822</v>
      </c>
      <c r="C91" s="854"/>
      <c r="D91" s="854" t="s">
        <v>598</v>
      </c>
      <c r="E91" s="854" t="s">
        <v>3059</v>
      </c>
      <c r="F91" s="857">
        <v>1394.35</v>
      </c>
    </row>
    <row r="92" spans="1:8" ht="15" customHeight="1" thickBot="1" x14ac:dyDescent="0.45">
      <c r="A92" s="854"/>
      <c r="B92" s="855"/>
      <c r="C92" s="854"/>
      <c r="D92" s="854"/>
      <c r="E92" s="854"/>
      <c r="F92" s="858">
        <f>ROUND(SUM(F3:F91),5)</f>
        <v>38752.980000000003</v>
      </c>
      <c r="G92">
        <f>SUM(G4:G91)</f>
        <v>13801.15</v>
      </c>
      <c r="H92" s="856">
        <f>SUM(F92:G92)</f>
        <v>52554.130000000005</v>
      </c>
    </row>
    <row r="93" spans="1:8" ht="15" customHeight="1" thickBot="1" x14ac:dyDescent="0.45">
      <c r="A93" s="854"/>
      <c r="B93" s="855"/>
      <c r="C93" s="854"/>
      <c r="D93" s="854"/>
      <c r="E93" s="854"/>
      <c r="F93" s="858">
        <f>F92</f>
        <v>38752.980000000003</v>
      </c>
    </row>
    <row r="94" spans="1:8" ht="15" customHeight="1" thickBot="1" x14ac:dyDescent="0.45">
      <c r="A94" s="854"/>
      <c r="B94" s="855"/>
      <c r="C94" s="854"/>
      <c r="D94" s="854"/>
      <c r="E94" s="854"/>
      <c r="F94" s="859">
        <f>F93</f>
        <v>38752.980000000003</v>
      </c>
    </row>
    <row r="95" spans="1:8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3:55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94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9473" r:id="rId4" name="FILTER"/>
      </mc:Fallback>
    </mc:AlternateContent>
    <mc:AlternateContent xmlns:mc="http://schemas.openxmlformats.org/markup-compatibility/2006">
      <mc:Choice Requires="x14">
        <control shapeId="194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9474" r:id="rId6" name="HEADER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F54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E1" sqref="E1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7.53515625" style="861" bestFit="1" customWidth="1"/>
    <col min="4" max="4" width="24.3828125" style="861" bestFit="1" customWidth="1"/>
    <col min="5" max="5" width="30.69140625" style="861" customWidth="1"/>
    <col min="6" max="6" width="8.15234375" style="861" bestFit="1" customWidth="1"/>
  </cols>
  <sheetData>
    <row r="1" spans="1:6" s="890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43495</v>
      </c>
      <c r="C4" s="854" t="s">
        <v>683</v>
      </c>
      <c r="D4" s="854" t="s">
        <v>594</v>
      </c>
      <c r="E4" s="854" t="s">
        <v>686</v>
      </c>
      <c r="F4" s="856">
        <v>27.9</v>
      </c>
    </row>
    <row r="5" spans="1:6" ht="14.6" x14ac:dyDescent="0.4">
      <c r="A5" s="854" t="s">
        <v>575</v>
      </c>
      <c r="B5" s="855">
        <v>43508</v>
      </c>
      <c r="C5" s="854" t="s">
        <v>684</v>
      </c>
      <c r="D5" s="854" t="s">
        <v>685</v>
      </c>
      <c r="E5" s="854" t="s">
        <v>687</v>
      </c>
      <c r="F5" s="856">
        <v>299.99</v>
      </c>
    </row>
    <row r="6" spans="1:6" ht="14.6" x14ac:dyDescent="0.4">
      <c r="A6" s="854" t="s">
        <v>575</v>
      </c>
      <c r="B6" s="855">
        <v>43508</v>
      </c>
      <c r="C6" s="854" t="s">
        <v>684</v>
      </c>
      <c r="D6" s="854" t="s">
        <v>685</v>
      </c>
      <c r="E6" s="854" t="s">
        <v>688</v>
      </c>
      <c r="F6" s="856">
        <v>29.99</v>
      </c>
    </row>
    <row r="7" spans="1:6" ht="14.6" x14ac:dyDescent="0.4">
      <c r="A7" s="854" t="s">
        <v>575</v>
      </c>
      <c r="B7" s="855">
        <v>43531</v>
      </c>
      <c r="C7" s="854" t="s">
        <v>1219</v>
      </c>
      <c r="D7" s="854" t="s">
        <v>1221</v>
      </c>
      <c r="E7" s="854" t="s">
        <v>1222</v>
      </c>
      <c r="F7" s="856">
        <v>0</v>
      </c>
    </row>
    <row r="8" spans="1:6" ht="14.6" x14ac:dyDescent="0.4">
      <c r="A8" s="854" t="s">
        <v>575</v>
      </c>
      <c r="B8" s="855">
        <v>43531</v>
      </c>
      <c r="C8" s="854" t="s">
        <v>1219</v>
      </c>
      <c r="D8" s="854" t="s">
        <v>1221</v>
      </c>
      <c r="E8" s="854" t="s">
        <v>1223</v>
      </c>
      <c r="F8" s="856">
        <v>44.99</v>
      </c>
    </row>
    <row r="9" spans="1:6" ht="14.6" x14ac:dyDescent="0.4">
      <c r="A9" s="854" t="s">
        <v>576</v>
      </c>
      <c r="B9" s="855">
        <v>43546</v>
      </c>
      <c r="C9" s="854" t="s">
        <v>1220</v>
      </c>
      <c r="D9" s="854" t="s">
        <v>850</v>
      </c>
      <c r="E9" s="854" t="s">
        <v>1224</v>
      </c>
      <c r="F9" s="856">
        <v>481</v>
      </c>
    </row>
    <row r="10" spans="1:6" ht="14.6" x14ac:dyDescent="0.4">
      <c r="A10" s="854" t="s">
        <v>576</v>
      </c>
      <c r="B10" s="855">
        <v>43607</v>
      </c>
      <c r="C10" s="854" t="s">
        <v>1730</v>
      </c>
      <c r="D10" s="854" t="s">
        <v>594</v>
      </c>
      <c r="E10" s="854" t="s">
        <v>1733</v>
      </c>
      <c r="F10" s="856">
        <v>31.59</v>
      </c>
    </row>
    <row r="11" spans="1:6" ht="14.6" x14ac:dyDescent="0.4">
      <c r="A11" s="854" t="s">
        <v>575</v>
      </c>
      <c r="B11" s="855">
        <v>43643</v>
      </c>
      <c r="C11" s="854" t="s">
        <v>1909</v>
      </c>
      <c r="D11" s="854" t="s">
        <v>1221</v>
      </c>
      <c r="E11" s="854" t="s">
        <v>1928</v>
      </c>
      <c r="F11" s="856">
        <v>0</v>
      </c>
    </row>
    <row r="12" spans="1:6" ht="14.6" x14ac:dyDescent="0.4">
      <c r="A12" s="854" t="s">
        <v>575</v>
      </c>
      <c r="B12" s="855">
        <v>43648</v>
      </c>
      <c r="C12" s="854" t="s">
        <v>1922</v>
      </c>
      <c r="D12" s="854" t="s">
        <v>1927</v>
      </c>
      <c r="E12" s="854" t="s">
        <v>1929</v>
      </c>
      <c r="F12" s="856">
        <v>259</v>
      </c>
    </row>
    <row r="13" spans="1:6" ht="14.6" x14ac:dyDescent="0.4">
      <c r="A13" s="854" t="s">
        <v>575</v>
      </c>
      <c r="B13" s="855">
        <v>43648</v>
      </c>
      <c r="C13" s="854" t="s">
        <v>1923</v>
      </c>
      <c r="D13" s="854" t="s">
        <v>685</v>
      </c>
      <c r="E13" s="854" t="s">
        <v>1930</v>
      </c>
      <c r="F13" s="856">
        <v>24.99</v>
      </c>
    </row>
    <row r="14" spans="1:6" ht="14.6" x14ac:dyDescent="0.4">
      <c r="A14" s="854" t="s">
        <v>575</v>
      </c>
      <c r="B14" s="855">
        <v>43648</v>
      </c>
      <c r="C14" s="854" t="s">
        <v>1924</v>
      </c>
      <c r="D14" s="854" t="s">
        <v>685</v>
      </c>
      <c r="E14" s="854" t="s">
        <v>1930</v>
      </c>
      <c r="F14" s="856">
        <v>39.99</v>
      </c>
    </row>
    <row r="15" spans="1:6" ht="14.6" x14ac:dyDescent="0.4">
      <c r="A15" s="854" t="s">
        <v>576</v>
      </c>
      <c r="B15" s="855">
        <v>43656</v>
      </c>
      <c r="C15" s="854" t="s">
        <v>1925</v>
      </c>
      <c r="D15" s="854" t="s">
        <v>594</v>
      </c>
      <c r="E15" s="854" t="s">
        <v>1931</v>
      </c>
      <c r="F15" s="856">
        <v>11.88</v>
      </c>
    </row>
    <row r="16" spans="1:6" ht="14.6" x14ac:dyDescent="0.4">
      <c r="A16" s="854" t="s">
        <v>576</v>
      </c>
      <c r="B16" s="855">
        <v>43656</v>
      </c>
      <c r="C16" s="854" t="s">
        <v>1925</v>
      </c>
      <c r="D16" s="854" t="s">
        <v>594</v>
      </c>
      <c r="E16" s="854" t="s">
        <v>1932</v>
      </c>
      <c r="F16" s="856">
        <v>89.97</v>
      </c>
    </row>
    <row r="17" spans="1:6" ht="14.6" x14ac:dyDescent="0.4">
      <c r="A17" s="854" t="s">
        <v>1921</v>
      </c>
      <c r="B17" s="855">
        <v>43656</v>
      </c>
      <c r="C17" s="854" t="s">
        <v>1926</v>
      </c>
      <c r="D17" s="854" t="s">
        <v>685</v>
      </c>
      <c r="E17" s="854" t="s">
        <v>1930</v>
      </c>
      <c r="F17" s="856">
        <v>-32.49</v>
      </c>
    </row>
    <row r="18" spans="1:6" ht="14.6" x14ac:dyDescent="0.4">
      <c r="A18" s="854" t="s">
        <v>576</v>
      </c>
      <c r="B18" s="855">
        <v>43668</v>
      </c>
      <c r="C18" s="854" t="s">
        <v>2158</v>
      </c>
      <c r="D18" s="854" t="s">
        <v>594</v>
      </c>
      <c r="E18" s="854" t="s">
        <v>2174</v>
      </c>
      <c r="F18" s="856">
        <v>55.2</v>
      </c>
    </row>
    <row r="19" spans="1:6" ht="14.6" x14ac:dyDescent="0.4">
      <c r="A19" s="854" t="s">
        <v>576</v>
      </c>
      <c r="B19" s="855">
        <v>43682</v>
      </c>
      <c r="C19" s="854" t="s">
        <v>2065</v>
      </c>
      <c r="D19" s="854" t="s">
        <v>594</v>
      </c>
      <c r="E19" s="854" t="s">
        <v>2175</v>
      </c>
      <c r="F19" s="856">
        <v>271.56</v>
      </c>
    </row>
    <row r="20" spans="1:6" ht="14.6" x14ac:dyDescent="0.4">
      <c r="A20" s="854" t="s">
        <v>576</v>
      </c>
      <c r="B20" s="855">
        <v>43730</v>
      </c>
      <c r="C20" s="854" t="s">
        <v>2508</v>
      </c>
      <c r="D20" s="854" t="s">
        <v>598</v>
      </c>
      <c r="E20" s="854" t="s">
        <v>2510</v>
      </c>
      <c r="F20" s="856">
        <v>7.99</v>
      </c>
    </row>
    <row r="21" spans="1:6" ht="14.6" x14ac:dyDescent="0.4">
      <c r="A21" s="854" t="s">
        <v>576</v>
      </c>
      <c r="B21" s="855">
        <v>43730</v>
      </c>
      <c r="C21" s="854" t="s">
        <v>2508</v>
      </c>
      <c r="D21" s="854" t="s">
        <v>598</v>
      </c>
      <c r="E21" s="854" t="s">
        <v>2511</v>
      </c>
      <c r="F21" s="856">
        <v>0</v>
      </c>
    </row>
    <row r="22" spans="1:6" ht="14.6" x14ac:dyDescent="0.4">
      <c r="A22" s="854" t="s">
        <v>576</v>
      </c>
      <c r="B22" s="855">
        <v>43730</v>
      </c>
      <c r="C22" s="854" t="s">
        <v>2508</v>
      </c>
      <c r="D22" s="854" t="s">
        <v>598</v>
      </c>
      <c r="E22" s="854" t="s">
        <v>2512</v>
      </c>
      <c r="F22" s="856">
        <v>76.5</v>
      </c>
    </row>
    <row r="23" spans="1:6" ht="14.6" x14ac:dyDescent="0.4">
      <c r="A23" s="854" t="s">
        <v>576</v>
      </c>
      <c r="B23" s="855">
        <v>43730</v>
      </c>
      <c r="C23" s="854" t="s">
        <v>2508</v>
      </c>
      <c r="D23" s="854" t="s">
        <v>598</v>
      </c>
      <c r="E23" s="854" t="s">
        <v>2513</v>
      </c>
      <c r="F23" s="856">
        <v>16.989999999999998</v>
      </c>
    </row>
    <row r="24" spans="1:6" ht="14.6" x14ac:dyDescent="0.4">
      <c r="A24" s="854" t="s">
        <v>576</v>
      </c>
      <c r="B24" s="855">
        <v>43738</v>
      </c>
      <c r="C24" s="854" t="s">
        <v>2509</v>
      </c>
      <c r="D24" s="854" t="s">
        <v>598</v>
      </c>
      <c r="E24" s="854" t="s">
        <v>2514</v>
      </c>
      <c r="F24" s="856">
        <v>7.99</v>
      </c>
    </row>
    <row r="25" spans="1:6" ht="14.6" x14ac:dyDescent="0.4">
      <c r="A25" s="854" t="s">
        <v>576</v>
      </c>
      <c r="B25" s="855">
        <v>43738</v>
      </c>
      <c r="C25" s="854" t="s">
        <v>2509</v>
      </c>
      <c r="D25" s="854" t="s">
        <v>598</v>
      </c>
      <c r="E25" s="854" t="s">
        <v>2515</v>
      </c>
      <c r="F25" s="856">
        <v>79.86</v>
      </c>
    </row>
    <row r="26" spans="1:6" ht="14.6" x14ac:dyDescent="0.4">
      <c r="A26" s="854" t="s">
        <v>576</v>
      </c>
      <c r="B26" s="855">
        <v>43738</v>
      </c>
      <c r="C26" s="854" t="s">
        <v>2509</v>
      </c>
      <c r="D26" s="854" t="s">
        <v>598</v>
      </c>
      <c r="E26" s="854" t="s">
        <v>2516</v>
      </c>
      <c r="F26" s="856">
        <v>39.979999999999997</v>
      </c>
    </row>
    <row r="27" spans="1:6" ht="14.6" x14ac:dyDescent="0.4">
      <c r="A27" s="854" t="s">
        <v>576</v>
      </c>
      <c r="B27" s="855">
        <v>43752</v>
      </c>
      <c r="C27" s="854" t="s">
        <v>2823</v>
      </c>
      <c r="D27" s="854" t="s">
        <v>594</v>
      </c>
      <c r="E27" s="854" t="s">
        <v>2824</v>
      </c>
      <c r="F27" s="856">
        <v>15.49</v>
      </c>
    </row>
    <row r="28" spans="1:6" ht="14.6" x14ac:dyDescent="0.4">
      <c r="A28" s="854" t="s">
        <v>575</v>
      </c>
      <c r="B28" s="855">
        <v>43774</v>
      </c>
      <c r="C28" s="854" t="s">
        <v>2812</v>
      </c>
      <c r="D28" s="854" t="s">
        <v>685</v>
      </c>
      <c r="E28" s="854" t="s">
        <v>2825</v>
      </c>
      <c r="F28" s="856">
        <v>0</v>
      </c>
    </row>
    <row r="29" spans="1:6" ht="14.6" x14ac:dyDescent="0.4">
      <c r="A29" s="854" t="s">
        <v>576</v>
      </c>
      <c r="B29" s="855">
        <v>43776</v>
      </c>
      <c r="C29" s="854" t="s">
        <v>2813</v>
      </c>
      <c r="D29" s="854" t="s">
        <v>685</v>
      </c>
      <c r="E29" s="854" t="s">
        <v>2825</v>
      </c>
      <c r="F29" s="856">
        <v>0</v>
      </c>
    </row>
    <row r="30" spans="1:6" ht="14.6" x14ac:dyDescent="0.4">
      <c r="A30" s="854" t="s">
        <v>576</v>
      </c>
      <c r="B30" s="855">
        <v>43782</v>
      </c>
      <c r="C30" s="854" t="s">
        <v>3016</v>
      </c>
      <c r="D30" s="854" t="s">
        <v>594</v>
      </c>
      <c r="E30" s="854" t="s">
        <v>3078</v>
      </c>
      <c r="F30" s="856">
        <v>13.99</v>
      </c>
    </row>
    <row r="31" spans="1:6" ht="14.6" x14ac:dyDescent="0.4">
      <c r="A31" s="854" t="s">
        <v>576</v>
      </c>
      <c r="B31" s="855">
        <v>43789</v>
      </c>
      <c r="C31" s="854" t="s">
        <v>2814</v>
      </c>
      <c r="D31" s="854" t="s">
        <v>598</v>
      </c>
      <c r="E31" s="854" t="s">
        <v>2826</v>
      </c>
      <c r="F31" s="856">
        <v>164.3</v>
      </c>
    </row>
    <row r="32" spans="1:6" ht="14.6" x14ac:dyDescent="0.4">
      <c r="A32" s="854" t="s">
        <v>576</v>
      </c>
      <c r="B32" s="855">
        <v>43789</v>
      </c>
      <c r="C32" s="854" t="s">
        <v>2814</v>
      </c>
      <c r="D32" s="854" t="s">
        <v>598</v>
      </c>
      <c r="E32" s="854" t="s">
        <v>2827</v>
      </c>
      <c r="F32" s="856">
        <v>119.9</v>
      </c>
    </row>
    <row r="33" spans="1:6" ht="14.6" x14ac:dyDescent="0.4">
      <c r="A33" s="854" t="s">
        <v>576</v>
      </c>
      <c r="B33" s="855">
        <v>43789</v>
      </c>
      <c r="C33" s="854" t="s">
        <v>2814</v>
      </c>
      <c r="D33" s="854" t="s">
        <v>598</v>
      </c>
      <c r="E33" s="854" t="s">
        <v>2828</v>
      </c>
      <c r="F33" s="856">
        <v>0</v>
      </c>
    </row>
    <row r="34" spans="1:6" ht="14.6" x14ac:dyDescent="0.4">
      <c r="A34" s="854" t="s">
        <v>576</v>
      </c>
      <c r="B34" s="855">
        <v>43789</v>
      </c>
      <c r="C34" s="854" t="s">
        <v>2814</v>
      </c>
      <c r="D34" s="854" t="s">
        <v>598</v>
      </c>
      <c r="E34" s="854" t="s">
        <v>2829</v>
      </c>
      <c r="F34" s="856">
        <v>20.98</v>
      </c>
    </row>
    <row r="35" spans="1:6" ht="14.6" x14ac:dyDescent="0.4">
      <c r="A35" s="854" t="s">
        <v>576</v>
      </c>
      <c r="B35" s="855">
        <v>43789</v>
      </c>
      <c r="C35" s="854" t="s">
        <v>2814</v>
      </c>
      <c r="D35" s="854" t="s">
        <v>598</v>
      </c>
      <c r="E35" s="854" t="s">
        <v>2830</v>
      </c>
      <c r="F35" s="856">
        <v>0</v>
      </c>
    </row>
    <row r="36" spans="1:6" ht="14.6" x14ac:dyDescent="0.4">
      <c r="A36" s="854" t="s">
        <v>575</v>
      </c>
      <c r="B36" s="855">
        <v>43790</v>
      </c>
      <c r="C36" s="854" t="s">
        <v>3074</v>
      </c>
      <c r="D36" s="854" t="s">
        <v>3077</v>
      </c>
      <c r="E36" s="854" t="s">
        <v>3079</v>
      </c>
      <c r="F36" s="856">
        <v>-16.75</v>
      </c>
    </row>
    <row r="37" spans="1:6" ht="14.6" x14ac:dyDescent="0.4">
      <c r="A37" s="854" t="s">
        <v>575</v>
      </c>
      <c r="B37" s="855">
        <v>43790</v>
      </c>
      <c r="C37" s="854" t="s">
        <v>3074</v>
      </c>
      <c r="D37" s="854" t="s">
        <v>3077</v>
      </c>
      <c r="E37" s="854" t="s">
        <v>3080</v>
      </c>
      <c r="F37" s="856">
        <v>209.85</v>
      </c>
    </row>
    <row r="38" spans="1:6" ht="14.6" x14ac:dyDescent="0.4">
      <c r="A38" s="854" t="s">
        <v>576</v>
      </c>
      <c r="B38" s="855">
        <v>43790</v>
      </c>
      <c r="C38" s="854" t="s">
        <v>3075</v>
      </c>
      <c r="D38" s="854" t="s">
        <v>598</v>
      </c>
      <c r="E38" s="854" t="s">
        <v>2828</v>
      </c>
      <c r="F38" s="856">
        <v>24.69</v>
      </c>
    </row>
    <row r="39" spans="1:6" ht="15" customHeight="1" x14ac:dyDescent="0.4">
      <c r="A39" s="854" t="s">
        <v>576</v>
      </c>
      <c r="B39" s="855">
        <v>43790</v>
      </c>
      <c r="C39" s="854" t="s">
        <v>3075</v>
      </c>
      <c r="D39" s="854" t="s">
        <v>598</v>
      </c>
      <c r="E39" s="854" t="s">
        <v>2830</v>
      </c>
      <c r="F39" s="856">
        <v>27.96</v>
      </c>
    </row>
    <row r="40" spans="1:6" ht="15" customHeight="1" x14ac:dyDescent="0.4">
      <c r="A40" s="854" t="s">
        <v>1921</v>
      </c>
      <c r="B40" s="855">
        <v>43790</v>
      </c>
      <c r="C40" s="854" t="s">
        <v>3076</v>
      </c>
      <c r="D40" s="854" t="s">
        <v>3077</v>
      </c>
      <c r="E40" s="854" t="s">
        <v>3081</v>
      </c>
      <c r="F40" s="856">
        <v>-14.72</v>
      </c>
    </row>
    <row r="41" spans="1:6" ht="15" customHeight="1" x14ac:dyDescent="0.4">
      <c r="A41" s="854" t="s">
        <v>576</v>
      </c>
      <c r="B41" s="855">
        <v>43799</v>
      </c>
      <c r="C41" s="854"/>
      <c r="D41" s="854" t="s">
        <v>685</v>
      </c>
      <c r="E41" s="854" t="s">
        <v>2825</v>
      </c>
      <c r="F41" s="856">
        <v>0</v>
      </c>
    </row>
    <row r="42" spans="1:6" ht="15" customHeight="1" x14ac:dyDescent="0.4">
      <c r="A42" s="854" t="s">
        <v>576</v>
      </c>
      <c r="B42" s="855">
        <v>43809</v>
      </c>
      <c r="C42" s="854" t="s">
        <v>3029</v>
      </c>
      <c r="D42" s="854" t="s">
        <v>594</v>
      </c>
      <c r="E42" s="854" t="s">
        <v>3082</v>
      </c>
      <c r="F42" s="856">
        <v>107.88</v>
      </c>
    </row>
    <row r="43" spans="1:6" ht="15" customHeight="1" x14ac:dyDescent="0.4">
      <c r="A43" s="854" t="s">
        <v>576</v>
      </c>
      <c r="B43" s="855">
        <v>43811</v>
      </c>
      <c r="C43" s="854" t="s">
        <v>3052</v>
      </c>
      <c r="D43" s="854" t="s">
        <v>685</v>
      </c>
      <c r="E43" s="854" t="s">
        <v>2825</v>
      </c>
      <c r="F43" s="856">
        <v>0</v>
      </c>
    </row>
    <row r="44" spans="1:6" ht="15" customHeight="1" x14ac:dyDescent="0.4">
      <c r="A44" s="854" t="s">
        <v>576</v>
      </c>
      <c r="B44" s="855">
        <v>43822</v>
      </c>
      <c r="C44" s="854"/>
      <c r="D44" s="854" t="s">
        <v>598</v>
      </c>
      <c r="E44" s="854" t="s">
        <v>3070</v>
      </c>
      <c r="F44" s="856">
        <v>-16.98</v>
      </c>
    </row>
    <row r="45" spans="1:6" ht="15" customHeight="1" x14ac:dyDescent="0.4">
      <c r="A45" s="854" t="s">
        <v>576</v>
      </c>
      <c r="B45" s="855">
        <v>43822</v>
      </c>
      <c r="C45" s="854"/>
      <c r="D45" s="854" t="s">
        <v>598</v>
      </c>
      <c r="E45" s="854" t="s">
        <v>3083</v>
      </c>
      <c r="F45" s="856">
        <v>9.99</v>
      </c>
    </row>
    <row r="46" spans="1:6" ht="15" customHeight="1" x14ac:dyDescent="0.4">
      <c r="A46" s="854" t="s">
        <v>576</v>
      </c>
      <c r="B46" s="855">
        <v>43822</v>
      </c>
      <c r="C46" s="854"/>
      <c r="D46" s="854" t="s">
        <v>598</v>
      </c>
      <c r="E46" s="854" t="s">
        <v>3084</v>
      </c>
      <c r="F46" s="856">
        <v>37.9</v>
      </c>
    </row>
    <row r="47" spans="1:6" ht="15" customHeight="1" x14ac:dyDescent="0.4">
      <c r="A47" s="854" t="s">
        <v>576</v>
      </c>
      <c r="B47" s="855">
        <v>43822</v>
      </c>
      <c r="C47" s="854"/>
      <c r="D47" s="854" t="s">
        <v>598</v>
      </c>
      <c r="E47" s="854" t="s">
        <v>3085</v>
      </c>
      <c r="F47" s="856">
        <v>56.85</v>
      </c>
    </row>
    <row r="48" spans="1:6" ht="15" customHeight="1" x14ac:dyDescent="0.4">
      <c r="A48" s="854" t="s">
        <v>576</v>
      </c>
      <c r="B48" s="855">
        <v>43822</v>
      </c>
      <c r="C48" s="854"/>
      <c r="D48" s="854" t="s">
        <v>598</v>
      </c>
      <c r="E48" s="854" t="s">
        <v>3086</v>
      </c>
      <c r="F48" s="856">
        <v>74.400000000000006</v>
      </c>
    </row>
    <row r="49" spans="1:6" ht="15" customHeight="1" x14ac:dyDescent="0.4">
      <c r="A49" s="854" t="s">
        <v>576</v>
      </c>
      <c r="B49" s="855">
        <v>43822</v>
      </c>
      <c r="C49" s="854"/>
      <c r="D49" s="854" t="s">
        <v>598</v>
      </c>
      <c r="E49" s="854" t="s">
        <v>3087</v>
      </c>
      <c r="F49" s="856">
        <v>71.88</v>
      </c>
    </row>
    <row r="50" spans="1:6" ht="15" customHeight="1" thickBot="1" x14ac:dyDescent="0.45">
      <c r="A50" s="854" t="s">
        <v>576</v>
      </c>
      <c r="B50" s="855">
        <v>43822</v>
      </c>
      <c r="C50" s="854"/>
      <c r="D50" s="854" t="s">
        <v>598</v>
      </c>
      <c r="E50" s="854" t="s">
        <v>3088</v>
      </c>
      <c r="F50" s="857">
        <v>149.99</v>
      </c>
    </row>
    <row r="51" spans="1:6" ht="15" customHeight="1" thickBot="1" x14ac:dyDescent="0.45">
      <c r="A51" s="854"/>
      <c r="B51" s="855"/>
      <c r="C51" s="854"/>
      <c r="D51" s="854"/>
      <c r="E51" s="854"/>
      <c r="F51" s="858">
        <f>ROUND(SUM(F3:F50),5)</f>
        <v>2922.47</v>
      </c>
    </row>
    <row r="52" spans="1:6" ht="15" customHeight="1" thickBot="1" x14ac:dyDescent="0.45">
      <c r="A52" s="854"/>
      <c r="B52" s="855"/>
      <c r="C52" s="854"/>
      <c r="D52" s="854"/>
      <c r="E52" s="854"/>
      <c r="F52" s="858">
        <f>F51</f>
        <v>2922.47</v>
      </c>
    </row>
    <row r="53" spans="1:6" ht="15" customHeight="1" thickBot="1" x14ac:dyDescent="0.45">
      <c r="A53" s="854"/>
      <c r="B53" s="855"/>
      <c r="C53" s="854"/>
      <c r="D53" s="854"/>
      <c r="E53" s="854"/>
      <c r="F53" s="859">
        <f>F52</f>
        <v>2922.47</v>
      </c>
    </row>
    <row r="54" spans="1:6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4:01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49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0495" r:id="rId4" name="FILTER"/>
      </mc:Fallback>
    </mc:AlternateContent>
    <mc:AlternateContent xmlns:mc="http://schemas.openxmlformats.org/markup-compatibility/2006">
      <mc:Choice Requires="x14">
        <control shapeId="2049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0496" r:id="rId6" name="HEADER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A1:F463"/>
  <sheetViews>
    <sheetView workbookViewId="0">
      <pane xSplit="1" ySplit="1" topLeftCell="B431" activePane="bottomRight" state="frozenSplit"/>
      <selection pane="topRight" activeCell="D1" sqref="D1"/>
      <selection pane="bottomLeft" activeCell="A2" sqref="A2"/>
      <selection pane="bottomRight" activeCell="E459" sqref="E459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21.15234375" style="861" bestFit="1" customWidth="1"/>
    <col min="4" max="5" width="30.69140625" style="861" customWidth="1"/>
    <col min="6" max="6" width="10.15234375" style="861" bestFit="1" customWidth="1"/>
  </cols>
  <sheetData>
    <row r="1" spans="1:6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43466</v>
      </c>
      <c r="C4" s="854" t="s">
        <v>690</v>
      </c>
      <c r="D4" s="854" t="s">
        <v>738</v>
      </c>
      <c r="E4" s="854" t="s">
        <v>761</v>
      </c>
      <c r="F4" s="856">
        <v>200</v>
      </c>
    </row>
    <row r="5" spans="1:6" ht="14.6" x14ac:dyDescent="0.4">
      <c r="A5" s="854" t="s">
        <v>576</v>
      </c>
      <c r="B5" s="855">
        <v>43466</v>
      </c>
      <c r="C5" s="854" t="s">
        <v>691</v>
      </c>
      <c r="D5" s="854" t="s">
        <v>1747</v>
      </c>
      <c r="E5" s="854" t="s">
        <v>762</v>
      </c>
      <c r="F5" s="856">
        <v>45</v>
      </c>
    </row>
    <row r="6" spans="1:6" ht="14.6" x14ac:dyDescent="0.4">
      <c r="A6" s="854" t="s">
        <v>576</v>
      </c>
      <c r="B6" s="855">
        <v>43466</v>
      </c>
      <c r="C6" s="854" t="s">
        <v>692</v>
      </c>
      <c r="D6" s="854" t="s">
        <v>1747</v>
      </c>
      <c r="E6" s="854" t="s">
        <v>763</v>
      </c>
      <c r="F6" s="856">
        <v>45</v>
      </c>
    </row>
    <row r="7" spans="1:6" ht="14.6" x14ac:dyDescent="0.4">
      <c r="A7" s="854" t="s">
        <v>576</v>
      </c>
      <c r="B7" s="855">
        <v>43466</v>
      </c>
      <c r="C7" s="854" t="s">
        <v>693</v>
      </c>
      <c r="D7" s="854" t="s">
        <v>1747</v>
      </c>
      <c r="E7" s="854" t="s">
        <v>764</v>
      </c>
      <c r="F7" s="856">
        <v>45</v>
      </c>
    </row>
    <row r="8" spans="1:6" ht="14.6" x14ac:dyDescent="0.4">
      <c r="A8" s="854" t="s">
        <v>576</v>
      </c>
      <c r="B8" s="855">
        <v>43466</v>
      </c>
      <c r="C8" s="854" t="s">
        <v>694</v>
      </c>
      <c r="D8" s="854" t="s">
        <v>1747</v>
      </c>
      <c r="E8" s="854" t="s">
        <v>765</v>
      </c>
      <c r="F8" s="856">
        <v>45</v>
      </c>
    </row>
    <row r="9" spans="1:6" ht="14.6" x14ac:dyDescent="0.4">
      <c r="A9" s="854" t="s">
        <v>576</v>
      </c>
      <c r="B9" s="855">
        <v>43466</v>
      </c>
      <c r="C9" s="854" t="s">
        <v>695</v>
      </c>
      <c r="D9" s="854" t="s">
        <v>1747</v>
      </c>
      <c r="E9" s="854" t="s">
        <v>766</v>
      </c>
      <c r="F9" s="856">
        <v>45</v>
      </c>
    </row>
    <row r="10" spans="1:6" ht="14.6" x14ac:dyDescent="0.4">
      <c r="A10" s="854" t="s">
        <v>576</v>
      </c>
      <c r="B10" s="855">
        <v>43466</v>
      </c>
      <c r="C10" s="854" t="s">
        <v>696</v>
      </c>
      <c r="D10" s="854" t="s">
        <v>1747</v>
      </c>
      <c r="E10" s="854" t="s">
        <v>767</v>
      </c>
      <c r="F10" s="856">
        <v>45</v>
      </c>
    </row>
    <row r="11" spans="1:6" ht="14.6" x14ac:dyDescent="0.4">
      <c r="A11" s="854" t="s">
        <v>576</v>
      </c>
      <c r="B11" s="855">
        <v>43466</v>
      </c>
      <c r="C11" s="854" t="s">
        <v>697</v>
      </c>
      <c r="D11" s="854" t="s">
        <v>1747</v>
      </c>
      <c r="E11" s="854" t="s">
        <v>768</v>
      </c>
      <c r="F11" s="856">
        <v>45</v>
      </c>
    </row>
    <row r="12" spans="1:6" ht="14.6" x14ac:dyDescent="0.4">
      <c r="A12" s="854" t="s">
        <v>576</v>
      </c>
      <c r="B12" s="855">
        <v>43466</v>
      </c>
      <c r="C12" s="854" t="s">
        <v>698</v>
      </c>
      <c r="D12" s="854" t="s">
        <v>739</v>
      </c>
      <c r="E12" s="854" t="s">
        <v>769</v>
      </c>
      <c r="F12" s="856">
        <v>2000</v>
      </c>
    </row>
    <row r="13" spans="1:6" ht="14.6" x14ac:dyDescent="0.4">
      <c r="A13" s="854" t="s">
        <v>576</v>
      </c>
      <c r="B13" s="855">
        <v>43466</v>
      </c>
      <c r="C13" s="854" t="s">
        <v>699</v>
      </c>
      <c r="D13" s="854" t="s">
        <v>739</v>
      </c>
      <c r="E13" s="854" t="s">
        <v>770</v>
      </c>
      <c r="F13" s="856">
        <v>300</v>
      </c>
    </row>
    <row r="14" spans="1:6" ht="14.6" x14ac:dyDescent="0.4">
      <c r="A14" s="854" t="s">
        <v>576</v>
      </c>
      <c r="B14" s="855">
        <v>43466</v>
      </c>
      <c r="C14" s="854" t="s">
        <v>699</v>
      </c>
      <c r="D14" s="854" t="s">
        <v>739</v>
      </c>
      <c r="E14" s="854" t="s">
        <v>771</v>
      </c>
      <c r="F14" s="856">
        <v>75</v>
      </c>
    </row>
    <row r="15" spans="1:6" ht="14.6" x14ac:dyDescent="0.4">
      <c r="A15" s="854" t="s">
        <v>575</v>
      </c>
      <c r="B15" s="855">
        <v>43466</v>
      </c>
      <c r="C15" s="854" t="s">
        <v>700</v>
      </c>
      <c r="D15" s="854" t="s">
        <v>740</v>
      </c>
      <c r="E15" s="854" t="s">
        <v>772</v>
      </c>
      <c r="F15" s="856">
        <v>16.7</v>
      </c>
    </row>
    <row r="16" spans="1:6" ht="14.6" x14ac:dyDescent="0.4">
      <c r="A16" s="854" t="s">
        <v>576</v>
      </c>
      <c r="B16" s="855">
        <v>43467</v>
      </c>
      <c r="C16" s="854" t="s">
        <v>701</v>
      </c>
      <c r="D16" s="854" t="s">
        <v>739</v>
      </c>
      <c r="E16" s="854" t="s">
        <v>995</v>
      </c>
      <c r="F16" s="856">
        <v>490</v>
      </c>
    </row>
    <row r="17" spans="1:6" ht="14.6" x14ac:dyDescent="0.4">
      <c r="A17" s="854" t="s">
        <v>576</v>
      </c>
      <c r="B17" s="855">
        <v>43467</v>
      </c>
      <c r="C17" s="854" t="s">
        <v>701</v>
      </c>
      <c r="D17" s="854" t="s">
        <v>739</v>
      </c>
      <c r="E17" s="854" t="s">
        <v>773</v>
      </c>
      <c r="F17" s="856">
        <v>300</v>
      </c>
    </row>
    <row r="18" spans="1:6" ht="14.6" x14ac:dyDescent="0.4">
      <c r="A18" s="854" t="s">
        <v>576</v>
      </c>
      <c r="B18" s="855">
        <v>43467</v>
      </c>
      <c r="C18" s="854" t="s">
        <v>702</v>
      </c>
      <c r="D18" s="854" t="s">
        <v>1747</v>
      </c>
      <c r="E18" s="854" t="s">
        <v>774</v>
      </c>
      <c r="F18" s="856">
        <v>100</v>
      </c>
    </row>
    <row r="19" spans="1:6" ht="14.6" x14ac:dyDescent="0.4">
      <c r="A19" s="854" t="s">
        <v>575</v>
      </c>
      <c r="B19" s="855">
        <v>43467</v>
      </c>
      <c r="C19" s="854" t="s">
        <v>703</v>
      </c>
      <c r="D19" s="854" t="s">
        <v>741</v>
      </c>
      <c r="E19" s="854" t="s">
        <v>775</v>
      </c>
      <c r="F19" s="856">
        <v>447.95</v>
      </c>
    </row>
    <row r="20" spans="1:6" ht="14.6" x14ac:dyDescent="0.4">
      <c r="A20" s="854" t="s">
        <v>576</v>
      </c>
      <c r="B20" s="855">
        <v>43472</v>
      </c>
      <c r="C20" s="854" t="s">
        <v>704</v>
      </c>
      <c r="D20" s="854" t="s">
        <v>1747</v>
      </c>
      <c r="E20" s="854" t="s">
        <v>776</v>
      </c>
      <c r="F20" s="856">
        <v>100</v>
      </c>
    </row>
    <row r="21" spans="1:6" ht="14.6" x14ac:dyDescent="0.4">
      <c r="A21" s="854" t="s">
        <v>575</v>
      </c>
      <c r="B21" s="855">
        <v>43472</v>
      </c>
      <c r="C21" s="854" t="s">
        <v>578</v>
      </c>
      <c r="D21" s="854" t="s">
        <v>593</v>
      </c>
      <c r="E21" s="854" t="s">
        <v>777</v>
      </c>
      <c r="F21" s="856">
        <v>211.13</v>
      </c>
    </row>
    <row r="22" spans="1:6" ht="14.6" x14ac:dyDescent="0.4">
      <c r="A22" s="854" t="s">
        <v>575</v>
      </c>
      <c r="B22" s="855">
        <v>43472</v>
      </c>
      <c r="C22" s="854" t="s">
        <v>705</v>
      </c>
      <c r="D22" s="854" t="s">
        <v>1748</v>
      </c>
      <c r="E22" s="854" t="s">
        <v>778</v>
      </c>
      <c r="F22" s="856">
        <v>1145</v>
      </c>
    </row>
    <row r="23" spans="1:6" ht="14.6" x14ac:dyDescent="0.4">
      <c r="A23" s="854" t="s">
        <v>575</v>
      </c>
      <c r="B23" s="855">
        <v>43472</v>
      </c>
      <c r="C23" s="854" t="s">
        <v>706</v>
      </c>
      <c r="D23" s="854" t="s">
        <v>740</v>
      </c>
      <c r="E23" s="854" t="s">
        <v>779</v>
      </c>
      <c r="F23" s="856">
        <v>11.13</v>
      </c>
    </row>
    <row r="24" spans="1:6" ht="14.6" x14ac:dyDescent="0.4">
      <c r="A24" s="854" t="s">
        <v>575</v>
      </c>
      <c r="B24" s="855">
        <v>43472</v>
      </c>
      <c r="C24" s="854" t="s">
        <v>707</v>
      </c>
      <c r="D24" s="854" t="s">
        <v>740</v>
      </c>
      <c r="E24" s="854" t="s">
        <v>780</v>
      </c>
      <c r="F24" s="856">
        <v>16.399999999999999</v>
      </c>
    </row>
    <row r="25" spans="1:6" ht="14.6" x14ac:dyDescent="0.4">
      <c r="A25" s="854" t="s">
        <v>575</v>
      </c>
      <c r="B25" s="855">
        <v>43472</v>
      </c>
      <c r="C25" s="854" t="s">
        <v>708</v>
      </c>
      <c r="D25" s="854" t="s">
        <v>742</v>
      </c>
      <c r="E25" s="854" t="s">
        <v>781</v>
      </c>
      <c r="F25" s="856">
        <v>16.510000000000002</v>
      </c>
    </row>
    <row r="26" spans="1:6" ht="14.6" x14ac:dyDescent="0.4">
      <c r="A26" s="854" t="s">
        <v>575</v>
      </c>
      <c r="B26" s="855">
        <v>43472</v>
      </c>
      <c r="C26" s="854" t="s">
        <v>707</v>
      </c>
      <c r="D26" s="854" t="s">
        <v>743</v>
      </c>
      <c r="E26" s="854" t="s">
        <v>782</v>
      </c>
      <c r="F26" s="856">
        <v>8</v>
      </c>
    </row>
    <row r="27" spans="1:6" ht="14.6" x14ac:dyDescent="0.4">
      <c r="A27" s="854" t="s">
        <v>575</v>
      </c>
      <c r="B27" s="855">
        <v>43473</v>
      </c>
      <c r="C27" s="854" t="s">
        <v>709</v>
      </c>
      <c r="D27" s="854" t="s">
        <v>744</v>
      </c>
      <c r="E27" s="854" t="s">
        <v>783</v>
      </c>
      <c r="F27" s="856">
        <v>50</v>
      </c>
    </row>
    <row r="28" spans="1:6" ht="14.6" x14ac:dyDescent="0.4">
      <c r="A28" s="854" t="s">
        <v>575</v>
      </c>
      <c r="B28" s="855">
        <v>43473</v>
      </c>
      <c r="C28" s="854" t="s">
        <v>709</v>
      </c>
      <c r="D28" s="854" t="s">
        <v>744</v>
      </c>
      <c r="E28" s="854" t="s">
        <v>784</v>
      </c>
      <c r="F28" s="856">
        <v>275</v>
      </c>
    </row>
    <row r="29" spans="1:6" ht="14.6" x14ac:dyDescent="0.4">
      <c r="A29" s="854" t="s">
        <v>575</v>
      </c>
      <c r="B29" s="855">
        <v>43473</v>
      </c>
      <c r="C29" s="854" t="s">
        <v>710</v>
      </c>
      <c r="D29" s="854" t="s">
        <v>744</v>
      </c>
      <c r="E29" s="854" t="s">
        <v>785</v>
      </c>
      <c r="F29" s="856">
        <v>50</v>
      </c>
    </row>
    <row r="30" spans="1:6" ht="14.6" x14ac:dyDescent="0.4">
      <c r="A30" s="854" t="s">
        <v>575</v>
      </c>
      <c r="B30" s="855">
        <v>43473</v>
      </c>
      <c r="C30" s="854" t="s">
        <v>710</v>
      </c>
      <c r="D30" s="854" t="s">
        <v>744</v>
      </c>
      <c r="E30" s="854" t="s">
        <v>786</v>
      </c>
      <c r="F30" s="856">
        <v>275</v>
      </c>
    </row>
    <row r="31" spans="1:6" ht="14.6" x14ac:dyDescent="0.4">
      <c r="A31" s="854" t="s">
        <v>576</v>
      </c>
      <c r="B31" s="855">
        <v>43474</v>
      </c>
      <c r="C31" s="854" t="s">
        <v>711</v>
      </c>
      <c r="D31" s="854" t="s">
        <v>1747</v>
      </c>
      <c r="E31" s="854" t="s">
        <v>787</v>
      </c>
      <c r="F31" s="856">
        <v>45</v>
      </c>
    </row>
    <row r="32" spans="1:6" ht="14.6" x14ac:dyDescent="0.4">
      <c r="A32" s="854" t="s">
        <v>576</v>
      </c>
      <c r="B32" s="855">
        <v>43474</v>
      </c>
      <c r="C32" s="854" t="s">
        <v>712</v>
      </c>
      <c r="D32" s="854" t="s">
        <v>1747</v>
      </c>
      <c r="E32" s="854" t="s">
        <v>788</v>
      </c>
      <c r="F32" s="856">
        <v>45</v>
      </c>
    </row>
    <row r="33" spans="1:6" ht="14.6" x14ac:dyDescent="0.4">
      <c r="A33" s="854" t="s">
        <v>576</v>
      </c>
      <c r="B33" s="855">
        <v>43475</v>
      </c>
      <c r="C33" s="854" t="s">
        <v>713</v>
      </c>
      <c r="D33" s="854" t="s">
        <v>739</v>
      </c>
      <c r="E33" s="854" t="s">
        <v>789</v>
      </c>
      <c r="F33" s="856">
        <v>335</v>
      </c>
    </row>
    <row r="34" spans="1:6" ht="14.6" x14ac:dyDescent="0.4">
      <c r="A34" s="854" t="s">
        <v>576</v>
      </c>
      <c r="B34" s="855">
        <v>43475</v>
      </c>
      <c r="C34" s="854" t="s">
        <v>713</v>
      </c>
      <c r="D34" s="854" t="s">
        <v>739</v>
      </c>
      <c r="E34" s="854" t="s">
        <v>790</v>
      </c>
      <c r="F34" s="856">
        <v>335</v>
      </c>
    </row>
    <row r="35" spans="1:6" ht="14.6" x14ac:dyDescent="0.4">
      <c r="A35" s="854" t="s">
        <v>576</v>
      </c>
      <c r="B35" s="855">
        <v>43475</v>
      </c>
      <c r="C35" s="854" t="s">
        <v>713</v>
      </c>
      <c r="D35" s="854" t="s">
        <v>739</v>
      </c>
      <c r="E35" s="854" t="s">
        <v>791</v>
      </c>
      <c r="F35" s="856">
        <v>335</v>
      </c>
    </row>
    <row r="36" spans="1:6" ht="14.6" x14ac:dyDescent="0.4">
      <c r="A36" s="854" t="s">
        <v>576</v>
      </c>
      <c r="B36" s="855">
        <v>43475</v>
      </c>
      <c r="C36" s="854" t="s">
        <v>713</v>
      </c>
      <c r="D36" s="854" t="s">
        <v>739</v>
      </c>
      <c r="E36" s="854" t="s">
        <v>792</v>
      </c>
      <c r="F36" s="856">
        <v>335</v>
      </c>
    </row>
    <row r="37" spans="1:6" ht="14.6" x14ac:dyDescent="0.4">
      <c r="A37" s="854" t="s">
        <v>576</v>
      </c>
      <c r="B37" s="855">
        <v>43475</v>
      </c>
      <c r="C37" s="854" t="s">
        <v>713</v>
      </c>
      <c r="D37" s="854" t="s">
        <v>739</v>
      </c>
      <c r="E37" s="854" t="s">
        <v>793</v>
      </c>
      <c r="F37" s="856">
        <v>335</v>
      </c>
    </row>
    <row r="38" spans="1:6" ht="14.6" x14ac:dyDescent="0.4">
      <c r="A38" s="854" t="s">
        <v>576</v>
      </c>
      <c r="B38" s="855">
        <v>43475</v>
      </c>
      <c r="C38" s="854" t="s">
        <v>713</v>
      </c>
      <c r="D38" s="854" t="s">
        <v>739</v>
      </c>
      <c r="E38" s="854" t="s">
        <v>794</v>
      </c>
      <c r="F38" s="856">
        <v>335</v>
      </c>
    </row>
    <row r="39" spans="1:6" ht="14.6" x14ac:dyDescent="0.4">
      <c r="A39" s="854" t="s">
        <v>576</v>
      </c>
      <c r="B39" s="855">
        <v>43475</v>
      </c>
      <c r="C39" s="854" t="s">
        <v>713</v>
      </c>
      <c r="D39" s="854" t="s">
        <v>739</v>
      </c>
      <c r="E39" s="854" t="s">
        <v>795</v>
      </c>
      <c r="F39" s="856">
        <v>335</v>
      </c>
    </row>
    <row r="40" spans="1:6" ht="14.6" x14ac:dyDescent="0.4">
      <c r="A40" s="854" t="s">
        <v>576</v>
      </c>
      <c r="B40" s="855">
        <v>43475</v>
      </c>
      <c r="C40" s="854" t="s">
        <v>713</v>
      </c>
      <c r="D40" s="854" t="s">
        <v>739</v>
      </c>
      <c r="E40" s="854" t="s">
        <v>796</v>
      </c>
      <c r="F40" s="856">
        <v>335</v>
      </c>
    </row>
    <row r="41" spans="1:6" ht="14.6" x14ac:dyDescent="0.4">
      <c r="A41" s="854" t="s">
        <v>576</v>
      </c>
      <c r="B41" s="855">
        <v>43475</v>
      </c>
      <c r="C41" s="854" t="s">
        <v>713</v>
      </c>
      <c r="D41" s="854" t="s">
        <v>739</v>
      </c>
      <c r="E41" s="854" t="s">
        <v>797</v>
      </c>
      <c r="F41" s="856">
        <v>335</v>
      </c>
    </row>
    <row r="42" spans="1:6" ht="14.6" x14ac:dyDescent="0.4">
      <c r="A42" s="854" t="s">
        <v>576</v>
      </c>
      <c r="B42" s="855">
        <v>43475</v>
      </c>
      <c r="C42" s="854" t="s">
        <v>713</v>
      </c>
      <c r="D42" s="854" t="s">
        <v>739</v>
      </c>
      <c r="E42" s="854" t="s">
        <v>798</v>
      </c>
      <c r="F42" s="856">
        <v>335</v>
      </c>
    </row>
    <row r="43" spans="1:6" ht="14.6" x14ac:dyDescent="0.4">
      <c r="A43" s="854" t="s">
        <v>576</v>
      </c>
      <c r="B43" s="855">
        <v>43475</v>
      </c>
      <c r="C43" s="854" t="s">
        <v>713</v>
      </c>
      <c r="D43" s="854" t="s">
        <v>739</v>
      </c>
      <c r="E43" s="854" t="s">
        <v>799</v>
      </c>
      <c r="F43" s="856">
        <v>335</v>
      </c>
    </row>
    <row r="44" spans="1:6" ht="14.6" x14ac:dyDescent="0.4">
      <c r="A44" s="854" t="s">
        <v>576</v>
      </c>
      <c r="B44" s="855">
        <v>43475</v>
      </c>
      <c r="C44" s="854" t="s">
        <v>713</v>
      </c>
      <c r="D44" s="854" t="s">
        <v>739</v>
      </c>
      <c r="E44" s="854" t="s">
        <v>800</v>
      </c>
      <c r="F44" s="856">
        <v>335</v>
      </c>
    </row>
    <row r="45" spans="1:6" ht="14.6" x14ac:dyDescent="0.4">
      <c r="A45" s="854" t="s">
        <v>576</v>
      </c>
      <c r="B45" s="855">
        <v>43475</v>
      </c>
      <c r="C45" s="854" t="s">
        <v>713</v>
      </c>
      <c r="D45" s="854" t="s">
        <v>739</v>
      </c>
      <c r="E45" s="854" t="s">
        <v>801</v>
      </c>
      <c r="F45" s="856">
        <v>335</v>
      </c>
    </row>
    <row r="46" spans="1:6" ht="14.6" x14ac:dyDescent="0.4">
      <c r="A46" s="854" t="s">
        <v>576</v>
      </c>
      <c r="B46" s="855">
        <v>43479</v>
      </c>
      <c r="C46" s="854" t="s">
        <v>701</v>
      </c>
      <c r="D46" s="854" t="s">
        <v>739</v>
      </c>
      <c r="E46" s="854" t="s">
        <v>802</v>
      </c>
      <c r="F46" s="856">
        <v>225</v>
      </c>
    </row>
    <row r="47" spans="1:6" ht="14.6" x14ac:dyDescent="0.4">
      <c r="A47" s="854" t="s">
        <v>576</v>
      </c>
      <c r="B47" s="855">
        <v>43479</v>
      </c>
      <c r="C47" s="854" t="s">
        <v>701</v>
      </c>
      <c r="D47" s="854" t="s">
        <v>739</v>
      </c>
      <c r="E47" s="854" t="s">
        <v>803</v>
      </c>
      <c r="F47" s="856">
        <v>225</v>
      </c>
    </row>
    <row r="48" spans="1:6" ht="14.6" x14ac:dyDescent="0.4">
      <c r="A48" s="854" t="s">
        <v>576</v>
      </c>
      <c r="B48" s="855">
        <v>43479</v>
      </c>
      <c r="C48" s="854" t="s">
        <v>701</v>
      </c>
      <c r="D48" s="854" t="s">
        <v>739</v>
      </c>
      <c r="E48" s="854" t="s">
        <v>804</v>
      </c>
      <c r="F48" s="856">
        <v>225</v>
      </c>
    </row>
    <row r="49" spans="1:6" ht="14.6" x14ac:dyDescent="0.4">
      <c r="A49" s="854" t="s">
        <v>576</v>
      </c>
      <c r="B49" s="855">
        <v>43479</v>
      </c>
      <c r="C49" s="854" t="s">
        <v>701</v>
      </c>
      <c r="D49" s="854" t="s">
        <v>739</v>
      </c>
      <c r="E49" s="854" t="s">
        <v>805</v>
      </c>
      <c r="F49" s="856">
        <v>225</v>
      </c>
    </row>
    <row r="50" spans="1:6" ht="14.6" x14ac:dyDescent="0.4">
      <c r="A50" s="854" t="s">
        <v>575</v>
      </c>
      <c r="B50" s="855">
        <v>43479</v>
      </c>
      <c r="C50" s="854" t="s">
        <v>714</v>
      </c>
      <c r="D50" s="854" t="s">
        <v>745</v>
      </c>
      <c r="E50" s="854" t="s">
        <v>806</v>
      </c>
      <c r="F50" s="856">
        <v>995</v>
      </c>
    </row>
    <row r="51" spans="1:6" ht="14.6" x14ac:dyDescent="0.4">
      <c r="A51" s="854" t="s">
        <v>575</v>
      </c>
      <c r="B51" s="855">
        <v>43480</v>
      </c>
      <c r="C51" s="854" t="s">
        <v>715</v>
      </c>
      <c r="D51" s="854" t="s">
        <v>746</v>
      </c>
      <c r="E51" s="854" t="s">
        <v>839</v>
      </c>
      <c r="F51" s="856">
        <v>30.31</v>
      </c>
    </row>
    <row r="52" spans="1:6" ht="14.6" x14ac:dyDescent="0.4">
      <c r="A52" s="854" t="s">
        <v>575</v>
      </c>
      <c r="B52" s="855">
        <v>43481</v>
      </c>
      <c r="C52" s="854" t="s">
        <v>710</v>
      </c>
      <c r="D52" s="854" t="s">
        <v>744</v>
      </c>
      <c r="E52" s="854" t="s">
        <v>840</v>
      </c>
      <c r="F52" s="856">
        <v>104.08</v>
      </c>
    </row>
    <row r="53" spans="1:6" ht="14.6" x14ac:dyDescent="0.4">
      <c r="A53" s="854" t="s">
        <v>576</v>
      </c>
      <c r="B53" s="855">
        <v>43482</v>
      </c>
      <c r="C53" s="854" t="s">
        <v>716</v>
      </c>
      <c r="D53" s="854" t="s">
        <v>1747</v>
      </c>
      <c r="E53" s="854" t="s">
        <v>807</v>
      </c>
      <c r="F53" s="856">
        <v>100</v>
      </c>
    </row>
    <row r="54" spans="1:6" ht="14.6" x14ac:dyDescent="0.4">
      <c r="A54" s="854" t="s">
        <v>576</v>
      </c>
      <c r="B54" s="855">
        <v>43482</v>
      </c>
      <c r="C54" s="854" t="s">
        <v>717</v>
      </c>
      <c r="D54" s="854" t="s">
        <v>1747</v>
      </c>
      <c r="E54" s="854" t="s">
        <v>808</v>
      </c>
      <c r="F54" s="856">
        <v>100</v>
      </c>
    </row>
    <row r="55" spans="1:6" ht="14.6" x14ac:dyDescent="0.4">
      <c r="A55" s="854" t="s">
        <v>575</v>
      </c>
      <c r="B55" s="855">
        <v>43482</v>
      </c>
      <c r="C55" s="854" t="s">
        <v>718</v>
      </c>
      <c r="D55" s="854" t="s">
        <v>593</v>
      </c>
      <c r="E55" s="854" t="s">
        <v>809</v>
      </c>
      <c r="F55" s="856">
        <v>155.94999999999999</v>
      </c>
    </row>
    <row r="56" spans="1:6" ht="14.6" x14ac:dyDescent="0.4">
      <c r="A56" s="854" t="s">
        <v>576</v>
      </c>
      <c r="B56" s="855">
        <v>43483</v>
      </c>
      <c r="C56" s="854" t="s">
        <v>710</v>
      </c>
      <c r="D56" s="854" t="s">
        <v>747</v>
      </c>
      <c r="E56" s="854" t="s">
        <v>810</v>
      </c>
      <c r="F56" s="856">
        <v>22.68</v>
      </c>
    </row>
    <row r="57" spans="1:6" ht="14.6" x14ac:dyDescent="0.4">
      <c r="A57" s="854" t="s">
        <v>575</v>
      </c>
      <c r="B57" s="855">
        <v>43483</v>
      </c>
      <c r="C57" s="854" t="s">
        <v>719</v>
      </c>
      <c r="D57" s="854" t="s">
        <v>748</v>
      </c>
      <c r="E57" s="854" t="s">
        <v>811</v>
      </c>
      <c r="F57" s="856">
        <v>45</v>
      </c>
    </row>
    <row r="58" spans="1:6" ht="14.6" x14ac:dyDescent="0.4">
      <c r="A58" s="854" t="s">
        <v>576</v>
      </c>
      <c r="B58" s="855">
        <v>43483</v>
      </c>
      <c r="C58" s="854" t="s">
        <v>710</v>
      </c>
      <c r="D58" s="854" t="s">
        <v>747</v>
      </c>
      <c r="E58" s="854" t="s">
        <v>812</v>
      </c>
      <c r="F58" s="856">
        <v>-16.7</v>
      </c>
    </row>
    <row r="59" spans="1:6" ht="14.6" x14ac:dyDescent="0.4">
      <c r="A59" s="854" t="s">
        <v>576</v>
      </c>
      <c r="B59" s="855">
        <v>43486</v>
      </c>
      <c r="C59" s="854" t="s">
        <v>720</v>
      </c>
      <c r="D59" s="854" t="s">
        <v>749</v>
      </c>
      <c r="E59" s="854" t="s">
        <v>813</v>
      </c>
      <c r="F59" s="856">
        <v>950</v>
      </c>
    </row>
    <row r="60" spans="1:6" ht="14.6" x14ac:dyDescent="0.4">
      <c r="A60" s="854" t="s">
        <v>576</v>
      </c>
      <c r="B60" s="855">
        <v>43486</v>
      </c>
      <c r="C60" s="854" t="s">
        <v>720</v>
      </c>
      <c r="D60" s="854" t="s">
        <v>749</v>
      </c>
      <c r="E60" s="854" t="s">
        <v>814</v>
      </c>
      <c r="F60" s="856">
        <v>950</v>
      </c>
    </row>
    <row r="61" spans="1:6" ht="14.6" x14ac:dyDescent="0.4">
      <c r="A61" s="854" t="s">
        <v>576</v>
      </c>
      <c r="B61" s="855">
        <v>43486</v>
      </c>
      <c r="C61" s="854" t="s">
        <v>720</v>
      </c>
      <c r="D61" s="854" t="s">
        <v>749</v>
      </c>
      <c r="E61" s="854" t="s">
        <v>815</v>
      </c>
      <c r="F61" s="856">
        <v>950</v>
      </c>
    </row>
    <row r="62" spans="1:6" ht="14.6" x14ac:dyDescent="0.4">
      <c r="A62" s="854" t="s">
        <v>575</v>
      </c>
      <c r="B62" s="855">
        <v>43487</v>
      </c>
      <c r="C62" s="854" t="s">
        <v>871</v>
      </c>
      <c r="D62" s="854" t="s">
        <v>882</v>
      </c>
      <c r="E62" s="854" t="s">
        <v>899</v>
      </c>
      <c r="F62" s="856">
        <v>200</v>
      </c>
    </row>
    <row r="63" spans="1:6" ht="14.6" x14ac:dyDescent="0.4">
      <c r="A63" s="854" t="s">
        <v>576</v>
      </c>
      <c r="B63" s="855">
        <v>43488</v>
      </c>
      <c r="C63" s="854" t="s">
        <v>721</v>
      </c>
      <c r="D63" s="854" t="s">
        <v>1747</v>
      </c>
      <c r="E63" s="854" t="s">
        <v>816</v>
      </c>
      <c r="F63" s="856">
        <v>45</v>
      </c>
    </row>
    <row r="64" spans="1:6" ht="14.6" x14ac:dyDescent="0.4">
      <c r="A64" s="854" t="s">
        <v>576</v>
      </c>
      <c r="B64" s="855">
        <v>43488</v>
      </c>
      <c r="C64" s="854" t="s">
        <v>722</v>
      </c>
      <c r="D64" s="854" t="s">
        <v>1747</v>
      </c>
      <c r="E64" s="854" t="s">
        <v>817</v>
      </c>
      <c r="F64" s="856">
        <v>45</v>
      </c>
    </row>
    <row r="65" spans="1:6" ht="14.6" x14ac:dyDescent="0.4">
      <c r="A65" s="854" t="s">
        <v>576</v>
      </c>
      <c r="B65" s="855">
        <v>43489</v>
      </c>
      <c r="C65" s="854" t="s">
        <v>710</v>
      </c>
      <c r="D65" s="854" t="s">
        <v>750</v>
      </c>
      <c r="E65" s="854" t="s">
        <v>818</v>
      </c>
      <c r="F65" s="856">
        <v>42.84</v>
      </c>
    </row>
    <row r="66" spans="1:6" ht="14.6" x14ac:dyDescent="0.4">
      <c r="A66" s="854" t="s">
        <v>576</v>
      </c>
      <c r="B66" s="855">
        <v>43493</v>
      </c>
      <c r="C66" s="854" t="s">
        <v>723</v>
      </c>
      <c r="D66" s="854" t="s">
        <v>3114</v>
      </c>
      <c r="E66" s="854" t="s">
        <v>819</v>
      </c>
      <c r="F66" s="856">
        <v>615</v>
      </c>
    </row>
    <row r="67" spans="1:6" ht="14.6" x14ac:dyDescent="0.4">
      <c r="A67" s="854" t="s">
        <v>576</v>
      </c>
      <c r="B67" s="855">
        <v>43493</v>
      </c>
      <c r="C67" s="854" t="s">
        <v>723</v>
      </c>
      <c r="D67" s="854" t="s">
        <v>3114</v>
      </c>
      <c r="E67" s="854" t="s">
        <v>820</v>
      </c>
      <c r="F67" s="856">
        <v>615</v>
      </c>
    </row>
    <row r="68" spans="1:6" ht="14.6" x14ac:dyDescent="0.4">
      <c r="A68" s="854" t="s">
        <v>576</v>
      </c>
      <c r="B68" s="855">
        <v>43493</v>
      </c>
      <c r="C68" s="854" t="s">
        <v>701</v>
      </c>
      <c r="D68" s="854" t="s">
        <v>751</v>
      </c>
      <c r="E68" s="854" t="s">
        <v>821</v>
      </c>
      <c r="F68" s="856">
        <v>47.01</v>
      </c>
    </row>
    <row r="69" spans="1:6" ht="14.6" x14ac:dyDescent="0.4">
      <c r="A69" s="854" t="s">
        <v>575</v>
      </c>
      <c r="B69" s="855">
        <v>43493</v>
      </c>
      <c r="C69" s="854" t="s">
        <v>724</v>
      </c>
      <c r="D69" s="854" t="s">
        <v>752</v>
      </c>
      <c r="E69" s="854" t="s">
        <v>822</v>
      </c>
      <c r="F69" s="856">
        <v>10.19</v>
      </c>
    </row>
    <row r="70" spans="1:6" ht="14.6" x14ac:dyDescent="0.4">
      <c r="A70" s="854" t="s">
        <v>575</v>
      </c>
      <c r="B70" s="855">
        <v>43494</v>
      </c>
      <c r="C70" s="854" t="s">
        <v>725</v>
      </c>
      <c r="D70" s="854" t="s">
        <v>741</v>
      </c>
      <c r="E70" s="854" t="s">
        <v>823</v>
      </c>
      <c r="F70" s="856">
        <v>682</v>
      </c>
    </row>
    <row r="71" spans="1:6" ht="14.6" x14ac:dyDescent="0.4">
      <c r="A71" s="854" t="s">
        <v>575</v>
      </c>
      <c r="B71" s="855">
        <v>43494</v>
      </c>
      <c r="C71" s="854" t="s">
        <v>725</v>
      </c>
      <c r="D71" s="854" t="s">
        <v>741</v>
      </c>
      <c r="E71" s="854" t="s">
        <v>824</v>
      </c>
      <c r="F71" s="856">
        <v>682</v>
      </c>
    </row>
    <row r="72" spans="1:6" ht="14.6" x14ac:dyDescent="0.4">
      <c r="A72" s="854" t="s">
        <v>576</v>
      </c>
      <c r="B72" s="855">
        <v>43495</v>
      </c>
      <c r="C72" s="854" t="s">
        <v>726</v>
      </c>
      <c r="D72" s="854" t="s">
        <v>739</v>
      </c>
      <c r="E72" s="854" t="s">
        <v>825</v>
      </c>
      <c r="F72" s="856">
        <v>300</v>
      </c>
    </row>
    <row r="73" spans="1:6" ht="14.6" x14ac:dyDescent="0.4">
      <c r="A73" s="854" t="s">
        <v>576</v>
      </c>
      <c r="B73" s="855">
        <v>43495</v>
      </c>
      <c r="C73" s="854" t="s">
        <v>726</v>
      </c>
      <c r="D73" s="854" t="s">
        <v>739</v>
      </c>
      <c r="E73" s="854" t="s">
        <v>826</v>
      </c>
      <c r="F73" s="856">
        <v>300</v>
      </c>
    </row>
    <row r="74" spans="1:6" ht="14.6" x14ac:dyDescent="0.4">
      <c r="A74" s="854" t="s">
        <v>575</v>
      </c>
      <c r="B74" s="855">
        <v>43496</v>
      </c>
      <c r="C74" s="854" t="s">
        <v>727</v>
      </c>
      <c r="D74" s="854" t="s">
        <v>739</v>
      </c>
      <c r="E74" s="854" t="s">
        <v>827</v>
      </c>
      <c r="F74" s="856">
        <v>75</v>
      </c>
    </row>
    <row r="75" spans="1:6" ht="14.6" x14ac:dyDescent="0.4">
      <c r="A75" s="854" t="s">
        <v>576</v>
      </c>
      <c r="B75" s="855">
        <v>43497</v>
      </c>
      <c r="C75" s="854" t="s">
        <v>728</v>
      </c>
      <c r="D75" s="854" t="s">
        <v>753</v>
      </c>
      <c r="E75" s="854" t="s">
        <v>828</v>
      </c>
      <c r="F75" s="856">
        <v>100</v>
      </c>
    </row>
    <row r="76" spans="1:6" ht="14.6" x14ac:dyDescent="0.4">
      <c r="A76" s="854" t="s">
        <v>575</v>
      </c>
      <c r="B76" s="855">
        <v>43500</v>
      </c>
      <c r="C76" s="854" t="s">
        <v>729</v>
      </c>
      <c r="D76" s="854" t="s">
        <v>744</v>
      </c>
      <c r="E76" s="854" t="s">
        <v>829</v>
      </c>
      <c r="F76" s="856">
        <v>500</v>
      </c>
    </row>
    <row r="77" spans="1:6" ht="14.6" x14ac:dyDescent="0.4">
      <c r="A77" s="854" t="s">
        <v>576</v>
      </c>
      <c r="B77" s="855">
        <v>43500</v>
      </c>
      <c r="C77" s="854" t="s">
        <v>710</v>
      </c>
      <c r="D77" s="854" t="s">
        <v>754</v>
      </c>
      <c r="E77" s="854" t="s">
        <v>821</v>
      </c>
      <c r="F77" s="856">
        <v>26.58</v>
      </c>
    </row>
    <row r="78" spans="1:6" ht="14.6" x14ac:dyDescent="0.4">
      <c r="A78" s="854" t="s">
        <v>576</v>
      </c>
      <c r="B78" s="855">
        <v>43502</v>
      </c>
      <c r="C78" s="854" t="s">
        <v>730</v>
      </c>
      <c r="D78" s="854" t="s">
        <v>755</v>
      </c>
      <c r="E78" s="854" t="s">
        <v>841</v>
      </c>
      <c r="F78" s="856">
        <v>189</v>
      </c>
    </row>
    <row r="79" spans="1:6" ht="14.6" x14ac:dyDescent="0.4">
      <c r="A79" s="854" t="s">
        <v>575</v>
      </c>
      <c r="B79" s="855">
        <v>43507</v>
      </c>
      <c r="C79" s="854" t="s">
        <v>731</v>
      </c>
      <c r="D79" s="854" t="s">
        <v>756</v>
      </c>
      <c r="E79" s="854" t="s">
        <v>830</v>
      </c>
      <c r="F79" s="856">
        <v>2</v>
      </c>
    </row>
    <row r="80" spans="1:6" ht="14.6" x14ac:dyDescent="0.4">
      <c r="A80" s="854" t="s">
        <v>575</v>
      </c>
      <c r="B80" s="855">
        <v>43509</v>
      </c>
      <c r="C80" s="854" t="s">
        <v>956</v>
      </c>
      <c r="D80" s="854" t="s">
        <v>961</v>
      </c>
      <c r="E80" s="854" t="s">
        <v>971</v>
      </c>
      <c r="F80" s="856">
        <v>54</v>
      </c>
    </row>
    <row r="81" spans="1:6" ht="14.6" x14ac:dyDescent="0.4">
      <c r="A81" s="854" t="s">
        <v>576</v>
      </c>
      <c r="B81" s="855">
        <v>43510</v>
      </c>
      <c r="C81" s="854" t="s">
        <v>723</v>
      </c>
      <c r="D81" s="854" t="s">
        <v>757</v>
      </c>
      <c r="E81" s="854" t="s">
        <v>838</v>
      </c>
      <c r="F81" s="856">
        <v>1250</v>
      </c>
    </row>
    <row r="82" spans="1:6" ht="14.6" x14ac:dyDescent="0.4">
      <c r="A82" s="854" t="s">
        <v>576</v>
      </c>
      <c r="B82" s="855">
        <v>43510</v>
      </c>
      <c r="C82" s="854" t="s">
        <v>732</v>
      </c>
      <c r="D82" s="854" t="s">
        <v>1747</v>
      </c>
      <c r="E82" s="854" t="s">
        <v>831</v>
      </c>
      <c r="F82" s="856">
        <v>45</v>
      </c>
    </row>
    <row r="83" spans="1:6" ht="14.6" x14ac:dyDescent="0.4">
      <c r="A83" s="854" t="s">
        <v>576</v>
      </c>
      <c r="B83" s="855">
        <v>43516</v>
      </c>
      <c r="C83" s="854" t="s">
        <v>733</v>
      </c>
      <c r="D83" s="854" t="s">
        <v>1747</v>
      </c>
      <c r="E83" s="854" t="s">
        <v>832</v>
      </c>
      <c r="F83" s="856">
        <v>45</v>
      </c>
    </row>
    <row r="84" spans="1:6" ht="14.6" x14ac:dyDescent="0.4">
      <c r="A84" s="854" t="s">
        <v>576</v>
      </c>
      <c r="B84" s="855">
        <v>43516</v>
      </c>
      <c r="C84" s="854" t="s">
        <v>723</v>
      </c>
      <c r="D84" s="854" t="s">
        <v>1241</v>
      </c>
      <c r="E84" s="854" t="s">
        <v>1256</v>
      </c>
      <c r="F84" s="856">
        <v>15</v>
      </c>
    </row>
    <row r="85" spans="1:6" ht="14.6" x14ac:dyDescent="0.4">
      <c r="A85" s="854" t="s">
        <v>576</v>
      </c>
      <c r="B85" s="855">
        <v>43517</v>
      </c>
      <c r="C85" s="854" t="s">
        <v>1225</v>
      </c>
      <c r="D85" s="854" t="s">
        <v>1242</v>
      </c>
      <c r="E85" s="854" t="s">
        <v>1256</v>
      </c>
      <c r="F85" s="856">
        <v>13.91</v>
      </c>
    </row>
    <row r="86" spans="1:6" ht="14.6" x14ac:dyDescent="0.4">
      <c r="A86" s="854" t="s">
        <v>576</v>
      </c>
      <c r="B86" s="855">
        <v>43517</v>
      </c>
      <c r="C86" s="854" t="s">
        <v>723</v>
      </c>
      <c r="D86" s="854" t="s">
        <v>1243</v>
      </c>
      <c r="E86" s="854" t="s">
        <v>1257</v>
      </c>
      <c r="F86" s="856">
        <v>31.92</v>
      </c>
    </row>
    <row r="87" spans="1:6" ht="14.6" x14ac:dyDescent="0.4">
      <c r="A87" s="854" t="s">
        <v>576</v>
      </c>
      <c r="B87" s="855">
        <v>43518</v>
      </c>
      <c r="C87" s="854" t="s">
        <v>723</v>
      </c>
      <c r="D87" s="854" t="s">
        <v>1244</v>
      </c>
      <c r="E87" s="854" t="s">
        <v>1256</v>
      </c>
      <c r="F87" s="856">
        <v>15</v>
      </c>
    </row>
    <row r="88" spans="1:6" ht="14.6" x14ac:dyDescent="0.4">
      <c r="A88" s="854" t="s">
        <v>576</v>
      </c>
      <c r="B88" s="855">
        <v>43518</v>
      </c>
      <c r="C88" s="854" t="s">
        <v>723</v>
      </c>
      <c r="D88" s="854" t="s">
        <v>2227</v>
      </c>
      <c r="E88" s="854" t="s">
        <v>1256</v>
      </c>
      <c r="F88" s="856">
        <v>15</v>
      </c>
    </row>
    <row r="89" spans="1:6" ht="14.6" x14ac:dyDescent="0.4">
      <c r="A89" s="854" t="s">
        <v>575</v>
      </c>
      <c r="B89" s="855">
        <v>43521</v>
      </c>
      <c r="C89" s="854" t="s">
        <v>734</v>
      </c>
      <c r="D89" s="854" t="s">
        <v>758</v>
      </c>
      <c r="E89" s="854" t="s">
        <v>833</v>
      </c>
      <c r="F89" s="856">
        <v>285</v>
      </c>
    </row>
    <row r="90" spans="1:6" ht="14.6" x14ac:dyDescent="0.4">
      <c r="A90" s="854" t="s">
        <v>575</v>
      </c>
      <c r="B90" s="855">
        <v>43521</v>
      </c>
      <c r="C90" s="854" t="s">
        <v>1226</v>
      </c>
      <c r="D90" s="854" t="s">
        <v>1245</v>
      </c>
      <c r="E90" s="854" t="s">
        <v>1258</v>
      </c>
      <c r="F90" s="856">
        <v>12.99</v>
      </c>
    </row>
    <row r="91" spans="1:6" ht="14.6" x14ac:dyDescent="0.4">
      <c r="A91" s="854" t="s">
        <v>576</v>
      </c>
      <c r="B91" s="855">
        <v>43522</v>
      </c>
      <c r="C91" s="854" t="s">
        <v>735</v>
      </c>
      <c r="D91" s="854" t="s">
        <v>758</v>
      </c>
      <c r="E91" s="854" t="s">
        <v>834</v>
      </c>
      <c r="F91" s="856">
        <v>285</v>
      </c>
    </row>
    <row r="92" spans="1:6" ht="14.6" x14ac:dyDescent="0.4">
      <c r="A92" s="854" t="s">
        <v>576</v>
      </c>
      <c r="B92" s="855">
        <v>43522</v>
      </c>
      <c r="C92" s="854" t="s">
        <v>723</v>
      </c>
      <c r="D92" s="854" t="s">
        <v>1246</v>
      </c>
      <c r="E92" s="854" t="s">
        <v>1256</v>
      </c>
      <c r="F92" s="856">
        <v>11.74</v>
      </c>
    </row>
    <row r="93" spans="1:6" ht="14.6" x14ac:dyDescent="0.4">
      <c r="A93" s="854" t="s">
        <v>575</v>
      </c>
      <c r="B93" s="855">
        <v>43523</v>
      </c>
      <c r="C93" s="854" t="s">
        <v>736</v>
      </c>
      <c r="D93" s="854" t="s">
        <v>759</v>
      </c>
      <c r="E93" s="854" t="s">
        <v>835</v>
      </c>
      <c r="F93" s="856">
        <v>205</v>
      </c>
    </row>
    <row r="94" spans="1:6" ht="14.6" x14ac:dyDescent="0.4">
      <c r="A94" s="854" t="s">
        <v>576</v>
      </c>
      <c r="B94" s="855">
        <v>43525</v>
      </c>
      <c r="C94" s="854" t="s">
        <v>728</v>
      </c>
      <c r="D94" s="854" t="s">
        <v>760</v>
      </c>
      <c r="E94" s="854" t="s">
        <v>836</v>
      </c>
      <c r="F94" s="856">
        <v>100</v>
      </c>
    </row>
    <row r="95" spans="1:6" ht="14.6" x14ac:dyDescent="0.4">
      <c r="A95" s="854" t="s">
        <v>689</v>
      </c>
      <c r="B95" s="855">
        <v>43525</v>
      </c>
      <c r="C95" s="854" t="s">
        <v>737</v>
      </c>
      <c r="D95" s="854" t="s">
        <v>739</v>
      </c>
      <c r="E95" s="854" t="s">
        <v>837</v>
      </c>
      <c r="F95" s="856">
        <v>-50</v>
      </c>
    </row>
    <row r="96" spans="1:6" ht="14.6" x14ac:dyDescent="0.4">
      <c r="A96" s="854" t="s">
        <v>576</v>
      </c>
      <c r="B96" s="855">
        <v>43529</v>
      </c>
      <c r="C96" s="854" t="s">
        <v>723</v>
      </c>
      <c r="D96" s="854" t="s">
        <v>1247</v>
      </c>
      <c r="E96" s="854" t="s">
        <v>1259</v>
      </c>
      <c r="F96" s="856">
        <v>59.34</v>
      </c>
    </row>
    <row r="97" spans="1:6" ht="14.6" x14ac:dyDescent="0.4">
      <c r="A97" s="854" t="s">
        <v>575</v>
      </c>
      <c r="B97" s="855">
        <v>43531</v>
      </c>
      <c r="C97" s="854" t="s">
        <v>1227</v>
      </c>
      <c r="D97" s="854" t="s">
        <v>1248</v>
      </c>
      <c r="E97" s="854" t="s">
        <v>1260</v>
      </c>
      <c r="F97" s="856">
        <v>59.75</v>
      </c>
    </row>
    <row r="98" spans="1:6" ht="14.6" x14ac:dyDescent="0.4">
      <c r="A98" s="854" t="s">
        <v>576</v>
      </c>
      <c r="B98" s="855">
        <v>43538</v>
      </c>
      <c r="C98" s="854" t="s">
        <v>726</v>
      </c>
      <c r="D98" s="854" t="s">
        <v>1249</v>
      </c>
      <c r="E98" s="854" t="s">
        <v>1261</v>
      </c>
      <c r="F98" s="856">
        <v>100</v>
      </c>
    </row>
    <row r="99" spans="1:6" ht="14.6" x14ac:dyDescent="0.4">
      <c r="A99" s="854" t="s">
        <v>576</v>
      </c>
      <c r="B99" s="855">
        <v>43538</v>
      </c>
      <c r="C99" s="854" t="s">
        <v>726</v>
      </c>
      <c r="D99" s="854" t="s">
        <v>1249</v>
      </c>
      <c r="E99" s="854" t="s">
        <v>1262</v>
      </c>
      <c r="F99" s="856">
        <v>100</v>
      </c>
    </row>
    <row r="100" spans="1:6" ht="14.6" x14ac:dyDescent="0.4">
      <c r="A100" s="854" t="s">
        <v>576</v>
      </c>
      <c r="B100" s="855">
        <v>43538</v>
      </c>
      <c r="C100" s="854" t="s">
        <v>723</v>
      </c>
      <c r="D100" s="854" t="s">
        <v>1250</v>
      </c>
      <c r="E100" s="854" t="s">
        <v>1263</v>
      </c>
      <c r="F100" s="856">
        <v>1050.76</v>
      </c>
    </row>
    <row r="101" spans="1:6" ht="14.6" x14ac:dyDescent="0.4">
      <c r="A101" s="854" t="s">
        <v>576</v>
      </c>
      <c r="B101" s="855">
        <v>43539</v>
      </c>
      <c r="C101" s="854" t="s">
        <v>1228</v>
      </c>
      <c r="D101" s="854" t="s">
        <v>739</v>
      </c>
      <c r="E101" s="854" t="s">
        <v>1264</v>
      </c>
      <c r="F101" s="856">
        <v>75</v>
      </c>
    </row>
    <row r="102" spans="1:6" ht="14.6" x14ac:dyDescent="0.4">
      <c r="A102" s="854" t="s">
        <v>576</v>
      </c>
      <c r="B102" s="855">
        <v>43539</v>
      </c>
      <c r="C102" s="854" t="s">
        <v>1228</v>
      </c>
      <c r="D102" s="854" t="s">
        <v>739</v>
      </c>
      <c r="E102" s="854" t="s">
        <v>1265</v>
      </c>
      <c r="F102" s="856">
        <v>75</v>
      </c>
    </row>
    <row r="103" spans="1:6" ht="14.6" x14ac:dyDescent="0.4">
      <c r="A103" s="854" t="s">
        <v>575</v>
      </c>
      <c r="B103" s="855">
        <v>43539</v>
      </c>
      <c r="C103" s="854" t="s">
        <v>1229</v>
      </c>
      <c r="D103" s="854" t="s">
        <v>739</v>
      </c>
      <c r="E103" s="854" t="s">
        <v>1266</v>
      </c>
      <c r="F103" s="856">
        <v>50</v>
      </c>
    </row>
    <row r="104" spans="1:6" ht="14.6" x14ac:dyDescent="0.4">
      <c r="A104" s="854" t="s">
        <v>575</v>
      </c>
      <c r="B104" s="855">
        <v>43542</v>
      </c>
      <c r="C104" s="854" t="s">
        <v>1230</v>
      </c>
      <c r="D104" s="854" t="s">
        <v>1251</v>
      </c>
      <c r="E104" s="854" t="s">
        <v>1267</v>
      </c>
      <c r="F104" s="856">
        <v>199</v>
      </c>
    </row>
    <row r="105" spans="1:6" ht="14.6" x14ac:dyDescent="0.4">
      <c r="A105" s="854" t="s">
        <v>575</v>
      </c>
      <c r="B105" s="855">
        <v>43542</v>
      </c>
      <c r="C105" s="854" t="s">
        <v>1231</v>
      </c>
      <c r="D105" s="854" t="s">
        <v>755</v>
      </c>
      <c r="E105" s="854" t="s">
        <v>1268</v>
      </c>
      <c r="F105" s="856">
        <v>300</v>
      </c>
    </row>
    <row r="106" spans="1:6" ht="14.6" x14ac:dyDescent="0.4">
      <c r="A106" s="854" t="s">
        <v>575</v>
      </c>
      <c r="B106" s="855">
        <v>43544</v>
      </c>
      <c r="C106" s="854" t="s">
        <v>1232</v>
      </c>
      <c r="D106" s="854" t="s">
        <v>1252</v>
      </c>
      <c r="E106" s="854" t="s">
        <v>1269</v>
      </c>
      <c r="F106" s="856">
        <v>147.75</v>
      </c>
    </row>
    <row r="107" spans="1:6" ht="14.6" x14ac:dyDescent="0.4">
      <c r="A107" s="854" t="s">
        <v>576</v>
      </c>
      <c r="B107" s="855">
        <v>43545</v>
      </c>
      <c r="C107" s="854" t="s">
        <v>1233</v>
      </c>
      <c r="D107" s="854" t="s">
        <v>1747</v>
      </c>
      <c r="E107" s="854" t="s">
        <v>1270</v>
      </c>
      <c r="F107" s="856">
        <v>45</v>
      </c>
    </row>
    <row r="108" spans="1:6" ht="14.6" x14ac:dyDescent="0.4">
      <c r="A108" s="854" t="s">
        <v>576</v>
      </c>
      <c r="B108" s="855">
        <v>43545</v>
      </c>
      <c r="C108" s="854" t="s">
        <v>1234</v>
      </c>
      <c r="D108" s="854" t="s">
        <v>1253</v>
      </c>
      <c r="E108" s="854" t="s">
        <v>1271</v>
      </c>
      <c r="F108" s="856">
        <v>102.75</v>
      </c>
    </row>
    <row r="109" spans="1:6" ht="14.6" x14ac:dyDescent="0.4">
      <c r="A109" s="854" t="s">
        <v>575</v>
      </c>
      <c r="B109" s="855">
        <v>43545</v>
      </c>
      <c r="C109" s="854" t="s">
        <v>1454</v>
      </c>
      <c r="D109" s="854" t="s">
        <v>741</v>
      </c>
      <c r="E109" s="854" t="s">
        <v>1471</v>
      </c>
      <c r="F109" s="856">
        <v>432.96</v>
      </c>
    </row>
    <row r="110" spans="1:6" ht="14.6" x14ac:dyDescent="0.4">
      <c r="A110" s="854" t="s">
        <v>576</v>
      </c>
      <c r="B110" s="855">
        <v>43546</v>
      </c>
      <c r="C110" s="854" t="s">
        <v>726</v>
      </c>
      <c r="D110" s="854" t="s">
        <v>2227</v>
      </c>
      <c r="E110" s="854" t="s">
        <v>1272</v>
      </c>
      <c r="F110" s="856">
        <v>40.049999999999997</v>
      </c>
    </row>
    <row r="111" spans="1:6" ht="14.6" x14ac:dyDescent="0.4">
      <c r="A111" s="854" t="s">
        <v>576</v>
      </c>
      <c r="B111" s="855">
        <v>43550</v>
      </c>
      <c r="C111" s="854" t="s">
        <v>726</v>
      </c>
      <c r="D111" s="854" t="s">
        <v>757</v>
      </c>
      <c r="E111" s="854" t="s">
        <v>838</v>
      </c>
      <c r="F111" s="856">
        <v>1250</v>
      </c>
    </row>
    <row r="112" spans="1:6" ht="14.6" x14ac:dyDescent="0.4">
      <c r="A112" s="854" t="s">
        <v>575</v>
      </c>
      <c r="B112" s="855">
        <v>43552</v>
      </c>
      <c r="C112" s="854" t="s">
        <v>1235</v>
      </c>
      <c r="D112" s="854" t="s">
        <v>593</v>
      </c>
      <c r="E112" s="854" t="s">
        <v>1273</v>
      </c>
      <c r="F112" s="856">
        <v>37.94</v>
      </c>
    </row>
    <row r="113" spans="1:6" ht="14.6" x14ac:dyDescent="0.4">
      <c r="A113" s="854" t="s">
        <v>575</v>
      </c>
      <c r="B113" s="855">
        <v>43552</v>
      </c>
      <c r="C113" s="854" t="s">
        <v>1236</v>
      </c>
      <c r="D113" s="854" t="s">
        <v>593</v>
      </c>
      <c r="E113" s="854" t="s">
        <v>1273</v>
      </c>
      <c r="F113" s="856">
        <v>245.13</v>
      </c>
    </row>
    <row r="114" spans="1:6" ht="14.6" x14ac:dyDescent="0.4">
      <c r="A114" s="854" t="s">
        <v>576</v>
      </c>
      <c r="B114" s="855">
        <v>43553</v>
      </c>
      <c r="C114" s="854" t="s">
        <v>726</v>
      </c>
      <c r="D114" s="854" t="s">
        <v>1254</v>
      </c>
      <c r="E114" s="854" t="s">
        <v>1274</v>
      </c>
      <c r="F114" s="856">
        <v>1083.77</v>
      </c>
    </row>
    <row r="115" spans="1:6" ht="14.6" x14ac:dyDescent="0.4">
      <c r="A115" s="854" t="s">
        <v>576</v>
      </c>
      <c r="B115" s="855">
        <v>43556</v>
      </c>
      <c r="C115" s="854" t="s">
        <v>1237</v>
      </c>
      <c r="D115" s="854" t="s">
        <v>1028</v>
      </c>
      <c r="E115" s="854" t="s">
        <v>1275</v>
      </c>
      <c r="F115" s="856">
        <v>4743.75</v>
      </c>
    </row>
    <row r="116" spans="1:6" ht="14.6" x14ac:dyDescent="0.4">
      <c r="A116" s="854" t="s">
        <v>576</v>
      </c>
      <c r="B116" s="855">
        <v>43557</v>
      </c>
      <c r="C116" s="854" t="s">
        <v>1238</v>
      </c>
      <c r="D116" s="854" t="s">
        <v>1255</v>
      </c>
      <c r="E116" s="854" t="s">
        <v>1276</v>
      </c>
      <c r="F116" s="856">
        <v>400.75</v>
      </c>
    </row>
    <row r="117" spans="1:6" ht="14.6" x14ac:dyDescent="0.4">
      <c r="A117" s="854" t="s">
        <v>576</v>
      </c>
      <c r="B117" s="855">
        <v>43558</v>
      </c>
      <c r="C117" s="854" t="s">
        <v>1239</v>
      </c>
      <c r="D117" s="854" t="s">
        <v>1747</v>
      </c>
      <c r="E117" s="854" t="s">
        <v>1277</v>
      </c>
      <c r="F117" s="856">
        <v>45</v>
      </c>
    </row>
    <row r="118" spans="1:6" ht="14.6" x14ac:dyDescent="0.4">
      <c r="A118" s="854" t="s">
        <v>576</v>
      </c>
      <c r="B118" s="855">
        <v>43560</v>
      </c>
      <c r="C118" s="854" t="s">
        <v>1238</v>
      </c>
      <c r="D118" s="854" t="s">
        <v>2228</v>
      </c>
      <c r="E118" s="854" t="s">
        <v>1278</v>
      </c>
      <c r="F118" s="856">
        <v>249.16</v>
      </c>
    </row>
    <row r="119" spans="1:6" ht="14.6" x14ac:dyDescent="0.4">
      <c r="A119" s="854" t="s">
        <v>575</v>
      </c>
      <c r="B119" s="855">
        <v>43562</v>
      </c>
      <c r="C119" s="854" t="s">
        <v>1455</v>
      </c>
      <c r="D119" s="854" t="s">
        <v>1466</v>
      </c>
      <c r="E119" s="854" t="s">
        <v>1472</v>
      </c>
      <c r="F119" s="856">
        <v>52</v>
      </c>
    </row>
    <row r="120" spans="1:6" ht="14.6" x14ac:dyDescent="0.4">
      <c r="A120" s="854" t="s">
        <v>575</v>
      </c>
      <c r="B120" s="855">
        <v>43563</v>
      </c>
      <c r="C120" s="854" t="s">
        <v>1456</v>
      </c>
      <c r="D120" s="854" t="s">
        <v>1467</v>
      </c>
      <c r="E120" s="854" t="s">
        <v>1473</v>
      </c>
      <c r="F120" s="856">
        <v>70</v>
      </c>
    </row>
    <row r="121" spans="1:6" ht="14.6" x14ac:dyDescent="0.4">
      <c r="A121" s="854" t="s">
        <v>575</v>
      </c>
      <c r="B121" s="855">
        <v>43563</v>
      </c>
      <c r="C121" s="854" t="s">
        <v>1457</v>
      </c>
      <c r="D121" s="854" t="s">
        <v>740</v>
      </c>
      <c r="E121" s="854" t="s">
        <v>1493</v>
      </c>
      <c r="F121" s="856">
        <v>6.84</v>
      </c>
    </row>
    <row r="122" spans="1:6" ht="14.6" x14ac:dyDescent="0.4">
      <c r="A122" s="854" t="s">
        <v>575</v>
      </c>
      <c r="B122" s="855">
        <v>43563</v>
      </c>
      <c r="C122" s="854" t="s">
        <v>1458</v>
      </c>
      <c r="D122" s="854" t="s">
        <v>740</v>
      </c>
      <c r="E122" s="854" t="s">
        <v>1493</v>
      </c>
      <c r="F122" s="856">
        <v>1</v>
      </c>
    </row>
    <row r="123" spans="1:6" ht="14.6" x14ac:dyDescent="0.4">
      <c r="A123" s="854" t="s">
        <v>575</v>
      </c>
      <c r="B123" s="855">
        <v>43565</v>
      </c>
      <c r="C123" s="854" t="s">
        <v>1459</v>
      </c>
      <c r="D123" s="854" t="s">
        <v>1468</v>
      </c>
      <c r="E123" s="854" t="s">
        <v>1474</v>
      </c>
      <c r="F123" s="856">
        <v>206.32</v>
      </c>
    </row>
    <row r="124" spans="1:6" ht="14.6" x14ac:dyDescent="0.4">
      <c r="A124" s="854" t="s">
        <v>575</v>
      </c>
      <c r="B124" s="855">
        <v>43565</v>
      </c>
      <c r="C124" s="854" t="s">
        <v>1460</v>
      </c>
      <c r="D124" s="854" t="s">
        <v>1468</v>
      </c>
      <c r="E124" s="854" t="s">
        <v>1475</v>
      </c>
      <c r="F124" s="856">
        <v>206.32</v>
      </c>
    </row>
    <row r="125" spans="1:6" ht="14.6" x14ac:dyDescent="0.4">
      <c r="A125" s="854" t="s">
        <v>575</v>
      </c>
      <c r="B125" s="855">
        <v>43565</v>
      </c>
      <c r="C125" s="854" t="s">
        <v>1461</v>
      </c>
      <c r="D125" s="854" t="s">
        <v>1468</v>
      </c>
      <c r="E125" s="854" t="s">
        <v>1476</v>
      </c>
      <c r="F125" s="856">
        <v>206.32</v>
      </c>
    </row>
    <row r="126" spans="1:6" ht="14.6" x14ac:dyDescent="0.4">
      <c r="A126" s="854" t="s">
        <v>575</v>
      </c>
      <c r="B126" s="855">
        <v>43565</v>
      </c>
      <c r="C126" s="854" t="s">
        <v>1460</v>
      </c>
      <c r="D126" s="854" t="s">
        <v>1468</v>
      </c>
      <c r="E126" s="854" t="s">
        <v>1475</v>
      </c>
      <c r="F126" s="856">
        <v>414.81</v>
      </c>
    </row>
    <row r="127" spans="1:6" ht="14.6" x14ac:dyDescent="0.4">
      <c r="A127" s="854" t="s">
        <v>575</v>
      </c>
      <c r="B127" s="855">
        <v>43565</v>
      </c>
      <c r="C127" s="854" t="s">
        <v>1459</v>
      </c>
      <c r="D127" s="854" t="s">
        <v>1468</v>
      </c>
      <c r="E127" s="854" t="s">
        <v>1474</v>
      </c>
      <c r="F127" s="856">
        <v>412.64</v>
      </c>
    </row>
    <row r="128" spans="1:6" ht="14.6" x14ac:dyDescent="0.4">
      <c r="A128" s="854" t="s">
        <v>575</v>
      </c>
      <c r="B128" s="855">
        <v>43565</v>
      </c>
      <c r="C128" s="854" t="s">
        <v>1462</v>
      </c>
      <c r="D128" s="854" t="s">
        <v>1468</v>
      </c>
      <c r="E128" s="854" t="s">
        <v>1477</v>
      </c>
      <c r="F128" s="856">
        <v>412.64</v>
      </c>
    </row>
    <row r="129" spans="1:6" ht="14.6" x14ac:dyDescent="0.4">
      <c r="A129" s="854" t="s">
        <v>575</v>
      </c>
      <c r="B129" s="855">
        <v>43565</v>
      </c>
      <c r="C129" s="854" t="s">
        <v>1463</v>
      </c>
      <c r="D129" s="854" t="s">
        <v>1469</v>
      </c>
      <c r="E129" s="854" t="s">
        <v>1478</v>
      </c>
      <c r="F129" s="856">
        <v>37</v>
      </c>
    </row>
    <row r="130" spans="1:6" ht="14.6" x14ac:dyDescent="0.4">
      <c r="A130" s="854" t="s">
        <v>575</v>
      </c>
      <c r="B130" s="855">
        <v>43565</v>
      </c>
      <c r="C130" s="854" t="s">
        <v>1464</v>
      </c>
      <c r="D130" s="854" t="s">
        <v>740</v>
      </c>
      <c r="E130" s="854" t="s">
        <v>1493</v>
      </c>
      <c r="F130" s="856">
        <v>6.5</v>
      </c>
    </row>
    <row r="131" spans="1:6" ht="14.6" x14ac:dyDescent="0.4">
      <c r="A131" s="854" t="s">
        <v>576</v>
      </c>
      <c r="B131" s="855">
        <v>43570</v>
      </c>
      <c r="C131" s="854" t="s">
        <v>1240</v>
      </c>
      <c r="D131" s="854" t="s">
        <v>1747</v>
      </c>
      <c r="E131" s="854" t="s">
        <v>1279</v>
      </c>
      <c r="F131" s="856">
        <v>45</v>
      </c>
    </row>
    <row r="132" spans="1:6" ht="14.6" x14ac:dyDescent="0.4">
      <c r="A132" s="854" t="s">
        <v>575</v>
      </c>
      <c r="B132" s="855">
        <v>43571</v>
      </c>
      <c r="C132" s="854" t="s">
        <v>1734</v>
      </c>
      <c r="D132" s="854" t="s">
        <v>1749</v>
      </c>
      <c r="E132" s="854" t="s">
        <v>1754</v>
      </c>
      <c r="F132" s="856">
        <v>80.069999999999993</v>
      </c>
    </row>
    <row r="133" spans="1:6" ht="14.6" x14ac:dyDescent="0.4">
      <c r="A133" s="854" t="s">
        <v>575</v>
      </c>
      <c r="B133" s="855">
        <v>43571</v>
      </c>
      <c r="C133" s="854" t="s">
        <v>1735</v>
      </c>
      <c r="D133" s="854" t="s">
        <v>1749</v>
      </c>
      <c r="E133" s="854" t="s">
        <v>1754</v>
      </c>
      <c r="F133" s="856">
        <v>20.28</v>
      </c>
    </row>
    <row r="134" spans="1:6" ht="14.6" x14ac:dyDescent="0.4">
      <c r="A134" s="854" t="s">
        <v>575</v>
      </c>
      <c r="B134" s="855">
        <v>43572</v>
      </c>
      <c r="C134" s="854" t="s">
        <v>1736</v>
      </c>
      <c r="D134" s="854" t="s">
        <v>752</v>
      </c>
      <c r="E134" s="854" t="s">
        <v>1755</v>
      </c>
      <c r="F134" s="856">
        <v>8.0399999999999991</v>
      </c>
    </row>
    <row r="135" spans="1:6" ht="14.6" x14ac:dyDescent="0.4">
      <c r="A135" s="854" t="s">
        <v>575</v>
      </c>
      <c r="B135" s="855">
        <v>43572</v>
      </c>
      <c r="C135" s="854" t="s">
        <v>1737</v>
      </c>
      <c r="D135" s="854" t="s">
        <v>1750</v>
      </c>
      <c r="E135" s="854" t="s">
        <v>1756</v>
      </c>
      <c r="F135" s="856">
        <v>7.04</v>
      </c>
    </row>
    <row r="136" spans="1:6" ht="14.6" x14ac:dyDescent="0.4">
      <c r="A136" s="854" t="s">
        <v>575</v>
      </c>
      <c r="B136" s="855">
        <v>43572</v>
      </c>
      <c r="C136" s="854" t="s">
        <v>1238</v>
      </c>
      <c r="D136" s="854" t="s">
        <v>756</v>
      </c>
      <c r="E136" s="854" t="s">
        <v>1757</v>
      </c>
      <c r="F136" s="856">
        <v>12</v>
      </c>
    </row>
    <row r="137" spans="1:6" ht="14.6" x14ac:dyDescent="0.4">
      <c r="A137" s="854" t="s">
        <v>575</v>
      </c>
      <c r="B137" s="855">
        <v>43577</v>
      </c>
      <c r="C137" s="854" t="s">
        <v>1578</v>
      </c>
      <c r="D137" s="854" t="s">
        <v>1587</v>
      </c>
      <c r="E137" s="854" t="s">
        <v>1593</v>
      </c>
      <c r="F137" s="856">
        <v>360</v>
      </c>
    </row>
    <row r="138" spans="1:6" ht="14.6" x14ac:dyDescent="0.4">
      <c r="A138" s="854" t="s">
        <v>576</v>
      </c>
      <c r="B138" s="855">
        <v>43579</v>
      </c>
      <c r="C138" s="854" t="s">
        <v>1238</v>
      </c>
      <c r="D138" s="854" t="s">
        <v>1470</v>
      </c>
      <c r="E138" s="854" t="s">
        <v>1479</v>
      </c>
      <c r="F138" s="856">
        <v>21.63</v>
      </c>
    </row>
    <row r="139" spans="1:6" ht="14.6" x14ac:dyDescent="0.4">
      <c r="A139" s="854" t="s">
        <v>576</v>
      </c>
      <c r="B139" s="855">
        <v>43585</v>
      </c>
      <c r="C139" s="854" t="s">
        <v>737</v>
      </c>
      <c r="D139" s="854" t="s">
        <v>1249</v>
      </c>
      <c r="E139" s="854" t="s">
        <v>1480</v>
      </c>
      <c r="F139" s="856">
        <v>20</v>
      </c>
    </row>
    <row r="140" spans="1:6" ht="14.6" x14ac:dyDescent="0.4">
      <c r="A140" s="854" t="s">
        <v>576</v>
      </c>
      <c r="B140" s="855">
        <v>43585</v>
      </c>
      <c r="C140" s="854" t="s">
        <v>737</v>
      </c>
      <c r="D140" s="854" t="s">
        <v>1249</v>
      </c>
      <c r="E140" s="854" t="s">
        <v>1481</v>
      </c>
      <c r="F140" s="856">
        <v>20</v>
      </c>
    </row>
    <row r="141" spans="1:6" ht="14.6" x14ac:dyDescent="0.4">
      <c r="A141" s="854" t="s">
        <v>576</v>
      </c>
      <c r="B141" s="855">
        <v>43585</v>
      </c>
      <c r="C141" s="854" t="s">
        <v>737</v>
      </c>
      <c r="D141" s="854" t="s">
        <v>1249</v>
      </c>
      <c r="E141" s="854" t="s">
        <v>1482</v>
      </c>
      <c r="F141" s="856">
        <v>20</v>
      </c>
    </row>
    <row r="142" spans="1:6" ht="14.6" x14ac:dyDescent="0.4">
      <c r="A142" s="854" t="s">
        <v>576</v>
      </c>
      <c r="B142" s="855">
        <v>43585</v>
      </c>
      <c r="C142" s="854" t="s">
        <v>737</v>
      </c>
      <c r="D142" s="854" t="s">
        <v>1249</v>
      </c>
      <c r="E142" s="854" t="s">
        <v>1492</v>
      </c>
      <c r="F142" s="856">
        <v>20</v>
      </c>
    </row>
    <row r="143" spans="1:6" ht="14.6" x14ac:dyDescent="0.4">
      <c r="A143" s="854" t="s">
        <v>576</v>
      </c>
      <c r="B143" s="855">
        <v>43585</v>
      </c>
      <c r="C143" s="854" t="s">
        <v>737</v>
      </c>
      <c r="D143" s="854" t="s">
        <v>1249</v>
      </c>
      <c r="E143" s="854" t="s">
        <v>1483</v>
      </c>
      <c r="F143" s="856">
        <v>20</v>
      </c>
    </row>
    <row r="144" spans="1:6" ht="14.6" x14ac:dyDescent="0.4">
      <c r="A144" s="854" t="s">
        <v>576</v>
      </c>
      <c r="B144" s="855">
        <v>43585</v>
      </c>
      <c r="C144" s="854" t="s">
        <v>737</v>
      </c>
      <c r="D144" s="854" t="s">
        <v>1249</v>
      </c>
      <c r="E144" s="854" t="s">
        <v>1484</v>
      </c>
      <c r="F144" s="856">
        <v>20</v>
      </c>
    </row>
    <row r="145" spans="1:6" ht="14.6" x14ac:dyDescent="0.4">
      <c r="A145" s="854" t="s">
        <v>576</v>
      </c>
      <c r="B145" s="855">
        <v>43585</v>
      </c>
      <c r="C145" s="854" t="s">
        <v>737</v>
      </c>
      <c r="D145" s="854" t="s">
        <v>1249</v>
      </c>
      <c r="E145" s="854" t="s">
        <v>1485</v>
      </c>
      <c r="F145" s="856">
        <v>20</v>
      </c>
    </row>
    <row r="146" spans="1:6" ht="14.6" x14ac:dyDescent="0.4">
      <c r="A146" s="854" t="s">
        <v>576</v>
      </c>
      <c r="B146" s="855">
        <v>43585</v>
      </c>
      <c r="C146" s="854" t="s">
        <v>737</v>
      </c>
      <c r="D146" s="854" t="s">
        <v>1249</v>
      </c>
      <c r="E146" s="854" t="s">
        <v>1486</v>
      </c>
      <c r="F146" s="856">
        <v>20</v>
      </c>
    </row>
    <row r="147" spans="1:6" ht="14.6" x14ac:dyDescent="0.4">
      <c r="A147" s="854" t="s">
        <v>576</v>
      </c>
      <c r="B147" s="855">
        <v>43585</v>
      </c>
      <c r="C147" s="854" t="s">
        <v>737</v>
      </c>
      <c r="D147" s="854" t="s">
        <v>1249</v>
      </c>
      <c r="E147" s="854" t="s">
        <v>1487</v>
      </c>
      <c r="F147" s="856">
        <v>20</v>
      </c>
    </row>
    <row r="148" spans="1:6" ht="14.6" x14ac:dyDescent="0.4">
      <c r="A148" s="854" t="s">
        <v>576</v>
      </c>
      <c r="B148" s="855">
        <v>43585</v>
      </c>
      <c r="C148" s="854" t="s">
        <v>737</v>
      </c>
      <c r="D148" s="854" t="s">
        <v>1249</v>
      </c>
      <c r="E148" s="854" t="s">
        <v>1488</v>
      </c>
      <c r="F148" s="856">
        <v>20</v>
      </c>
    </row>
    <row r="149" spans="1:6" ht="14.6" x14ac:dyDescent="0.4">
      <c r="A149" s="854" t="s">
        <v>576</v>
      </c>
      <c r="B149" s="855">
        <v>43585</v>
      </c>
      <c r="C149" s="854" t="s">
        <v>737</v>
      </c>
      <c r="D149" s="854" t="s">
        <v>1249</v>
      </c>
      <c r="E149" s="854" t="s">
        <v>1489</v>
      </c>
      <c r="F149" s="856">
        <v>20</v>
      </c>
    </row>
    <row r="150" spans="1:6" ht="14.6" x14ac:dyDescent="0.4">
      <c r="A150" s="854" t="s">
        <v>576</v>
      </c>
      <c r="B150" s="855">
        <v>43585</v>
      </c>
      <c r="C150" s="854" t="s">
        <v>737</v>
      </c>
      <c r="D150" s="854" t="s">
        <v>1249</v>
      </c>
      <c r="E150" s="854" t="s">
        <v>1490</v>
      </c>
      <c r="F150" s="856">
        <v>20</v>
      </c>
    </row>
    <row r="151" spans="1:6" ht="14.6" x14ac:dyDescent="0.4">
      <c r="A151" s="854" t="s">
        <v>576</v>
      </c>
      <c r="B151" s="855">
        <v>43586</v>
      </c>
      <c r="C151" s="854" t="s">
        <v>1465</v>
      </c>
      <c r="D151" s="854" t="s">
        <v>1747</v>
      </c>
      <c r="E151" s="854" t="s">
        <v>1491</v>
      </c>
      <c r="F151" s="856">
        <v>45</v>
      </c>
    </row>
    <row r="152" spans="1:6" ht="14.6" x14ac:dyDescent="0.4">
      <c r="A152" s="854" t="s">
        <v>575</v>
      </c>
      <c r="B152" s="855">
        <v>43587</v>
      </c>
      <c r="C152" s="854" t="s">
        <v>1579</v>
      </c>
      <c r="D152" s="854" t="s">
        <v>743</v>
      </c>
      <c r="E152" s="854" t="s">
        <v>1594</v>
      </c>
      <c r="F152" s="856">
        <v>21</v>
      </c>
    </row>
    <row r="153" spans="1:6" ht="14.6" x14ac:dyDescent="0.4">
      <c r="A153" s="854" t="s">
        <v>575</v>
      </c>
      <c r="B153" s="855">
        <v>43587</v>
      </c>
      <c r="C153" s="854" t="s">
        <v>1580</v>
      </c>
      <c r="D153" s="854" t="s">
        <v>1588</v>
      </c>
      <c r="E153" s="854" t="s">
        <v>1595</v>
      </c>
      <c r="F153" s="856">
        <v>4.33</v>
      </c>
    </row>
    <row r="154" spans="1:6" ht="14.6" x14ac:dyDescent="0.4">
      <c r="A154" s="854" t="s">
        <v>576</v>
      </c>
      <c r="B154" s="855">
        <v>43592</v>
      </c>
      <c r="C154" s="854" t="s">
        <v>1581</v>
      </c>
      <c r="D154" s="854" t="s">
        <v>739</v>
      </c>
      <c r="E154" s="854" t="s">
        <v>1596</v>
      </c>
      <c r="F154" s="856">
        <v>300</v>
      </c>
    </row>
    <row r="155" spans="1:6" ht="14.6" x14ac:dyDescent="0.4">
      <c r="A155" s="854" t="s">
        <v>576</v>
      </c>
      <c r="B155" s="855">
        <v>43592</v>
      </c>
      <c r="C155" s="854" t="s">
        <v>1581</v>
      </c>
      <c r="D155" s="854" t="s">
        <v>739</v>
      </c>
      <c r="E155" s="854" t="s">
        <v>1597</v>
      </c>
      <c r="F155" s="856">
        <v>300</v>
      </c>
    </row>
    <row r="156" spans="1:6" ht="14.6" x14ac:dyDescent="0.4">
      <c r="A156" s="854" t="s">
        <v>575</v>
      </c>
      <c r="B156" s="855">
        <v>43592</v>
      </c>
      <c r="C156" s="854" t="s">
        <v>1582</v>
      </c>
      <c r="D156" s="854" t="s">
        <v>740</v>
      </c>
      <c r="E156" s="854" t="s">
        <v>1598</v>
      </c>
      <c r="F156" s="856">
        <v>8.33</v>
      </c>
    </row>
    <row r="157" spans="1:6" ht="14.6" x14ac:dyDescent="0.4">
      <c r="A157" s="854" t="s">
        <v>575</v>
      </c>
      <c r="B157" s="855">
        <v>43592</v>
      </c>
      <c r="C157" s="854" t="s">
        <v>1583</v>
      </c>
      <c r="D157" s="854" t="s">
        <v>740</v>
      </c>
      <c r="E157" s="854" t="s">
        <v>1598</v>
      </c>
      <c r="F157" s="856">
        <v>2</v>
      </c>
    </row>
    <row r="158" spans="1:6" ht="14.6" x14ac:dyDescent="0.4">
      <c r="A158" s="854" t="s">
        <v>575</v>
      </c>
      <c r="B158" s="855">
        <v>43592</v>
      </c>
      <c r="C158" s="854"/>
      <c r="D158" s="854" t="s">
        <v>740</v>
      </c>
      <c r="E158" s="854" t="s">
        <v>1594</v>
      </c>
      <c r="F158" s="856">
        <v>1</v>
      </c>
    </row>
    <row r="159" spans="1:6" ht="14.6" x14ac:dyDescent="0.4">
      <c r="A159" s="854" t="s">
        <v>576</v>
      </c>
      <c r="B159" s="855">
        <v>43594</v>
      </c>
      <c r="C159" s="854" t="s">
        <v>1584</v>
      </c>
      <c r="D159" s="854" t="s">
        <v>1589</v>
      </c>
      <c r="E159" s="854" t="s">
        <v>1599</v>
      </c>
      <c r="F159" s="856">
        <v>255</v>
      </c>
    </row>
    <row r="160" spans="1:6" ht="14.6" x14ac:dyDescent="0.4">
      <c r="A160" s="854" t="s">
        <v>576</v>
      </c>
      <c r="B160" s="855">
        <v>43594</v>
      </c>
      <c r="C160" s="854" t="s">
        <v>1584</v>
      </c>
      <c r="D160" s="854" t="s">
        <v>1589</v>
      </c>
      <c r="E160" s="854" t="s">
        <v>1600</v>
      </c>
      <c r="F160" s="856">
        <v>255</v>
      </c>
    </row>
    <row r="161" spans="1:6" ht="14.6" x14ac:dyDescent="0.4">
      <c r="A161" s="854" t="s">
        <v>575</v>
      </c>
      <c r="B161" s="855">
        <v>43594</v>
      </c>
      <c r="C161" s="854" t="s">
        <v>1585</v>
      </c>
      <c r="D161" s="854" t="s">
        <v>1590</v>
      </c>
      <c r="E161" s="854" t="s">
        <v>1601</v>
      </c>
      <c r="F161" s="856">
        <v>71</v>
      </c>
    </row>
    <row r="162" spans="1:6" ht="14.6" x14ac:dyDescent="0.4">
      <c r="A162" s="854" t="s">
        <v>576</v>
      </c>
      <c r="B162" s="855">
        <v>43598</v>
      </c>
      <c r="C162" s="854" t="s">
        <v>1586</v>
      </c>
      <c r="D162" s="854" t="s">
        <v>739</v>
      </c>
      <c r="E162" s="854" t="s">
        <v>1602</v>
      </c>
      <c r="F162" s="856">
        <v>300</v>
      </c>
    </row>
    <row r="163" spans="1:6" ht="14.6" x14ac:dyDescent="0.4">
      <c r="A163" s="854" t="s">
        <v>576</v>
      </c>
      <c r="B163" s="855">
        <v>43599</v>
      </c>
      <c r="C163" s="854" t="s">
        <v>1512</v>
      </c>
      <c r="D163" s="854" t="s">
        <v>1591</v>
      </c>
      <c r="E163" s="854" t="s">
        <v>1603</v>
      </c>
      <c r="F163" s="856">
        <v>211.44</v>
      </c>
    </row>
    <row r="164" spans="1:6" ht="14.6" x14ac:dyDescent="0.4">
      <c r="A164" s="854" t="s">
        <v>576</v>
      </c>
      <c r="B164" s="855">
        <v>43599</v>
      </c>
      <c r="C164" s="854" t="s">
        <v>737</v>
      </c>
      <c r="D164" s="854" t="s">
        <v>1592</v>
      </c>
      <c r="E164" s="854" t="s">
        <v>1604</v>
      </c>
      <c r="F164" s="856">
        <v>515</v>
      </c>
    </row>
    <row r="165" spans="1:6" ht="14.6" x14ac:dyDescent="0.4">
      <c r="A165" s="854" t="s">
        <v>576</v>
      </c>
      <c r="B165" s="855">
        <v>43599</v>
      </c>
      <c r="C165" s="854" t="s">
        <v>737</v>
      </c>
      <c r="D165" s="854" t="s">
        <v>1592</v>
      </c>
      <c r="E165" s="854" t="s">
        <v>1605</v>
      </c>
      <c r="F165" s="856">
        <v>515</v>
      </c>
    </row>
    <row r="166" spans="1:6" ht="14.6" x14ac:dyDescent="0.4">
      <c r="A166" s="854" t="s">
        <v>576</v>
      </c>
      <c r="B166" s="855">
        <v>43601</v>
      </c>
      <c r="C166" s="854" t="s">
        <v>1738</v>
      </c>
      <c r="D166" s="854" t="s">
        <v>1748</v>
      </c>
      <c r="E166" s="854" t="s">
        <v>1758</v>
      </c>
      <c r="F166" s="856">
        <v>99</v>
      </c>
    </row>
    <row r="167" spans="1:6" ht="14.6" x14ac:dyDescent="0.4">
      <c r="A167" s="854" t="s">
        <v>576</v>
      </c>
      <c r="B167" s="855">
        <v>43615</v>
      </c>
      <c r="C167" s="854" t="s">
        <v>1672</v>
      </c>
      <c r="D167" s="854" t="s">
        <v>594</v>
      </c>
      <c r="E167" s="854" t="s">
        <v>1759</v>
      </c>
      <c r="F167" s="856">
        <v>45</v>
      </c>
    </row>
    <row r="168" spans="1:6" ht="14.6" x14ac:dyDescent="0.4">
      <c r="A168" s="854" t="s">
        <v>576</v>
      </c>
      <c r="B168" s="855">
        <v>43615</v>
      </c>
      <c r="C168" s="854" t="s">
        <v>1672</v>
      </c>
      <c r="D168" s="854" t="s">
        <v>594</v>
      </c>
      <c r="E168" s="854" t="s">
        <v>1760</v>
      </c>
      <c r="F168" s="856">
        <v>150</v>
      </c>
    </row>
    <row r="169" spans="1:6" ht="14.6" x14ac:dyDescent="0.4">
      <c r="A169" s="854" t="s">
        <v>576</v>
      </c>
      <c r="B169" s="855">
        <v>43617</v>
      </c>
      <c r="C169" s="854" t="s">
        <v>710</v>
      </c>
      <c r="D169" s="854" t="s">
        <v>1751</v>
      </c>
      <c r="E169" s="854" t="s">
        <v>1761</v>
      </c>
      <c r="F169" s="856">
        <v>1000</v>
      </c>
    </row>
    <row r="170" spans="1:6" ht="14.6" x14ac:dyDescent="0.4">
      <c r="A170" s="854" t="s">
        <v>575</v>
      </c>
      <c r="B170" s="855">
        <v>43622</v>
      </c>
      <c r="C170" s="854" t="s">
        <v>1739</v>
      </c>
      <c r="D170" s="854" t="s">
        <v>1752</v>
      </c>
      <c r="E170" s="854" t="s">
        <v>1762</v>
      </c>
      <c r="F170" s="856">
        <v>53</v>
      </c>
    </row>
    <row r="171" spans="1:6" ht="14.6" x14ac:dyDescent="0.4">
      <c r="A171" s="854" t="s">
        <v>576</v>
      </c>
      <c r="B171" s="855">
        <v>43623</v>
      </c>
      <c r="C171" s="854" t="s">
        <v>1740</v>
      </c>
      <c r="D171" s="854" t="s">
        <v>1753</v>
      </c>
      <c r="E171" s="854" t="s">
        <v>1763</v>
      </c>
      <c r="F171" s="856">
        <v>645</v>
      </c>
    </row>
    <row r="172" spans="1:6" ht="14.6" x14ac:dyDescent="0.4">
      <c r="A172" s="854" t="s">
        <v>576</v>
      </c>
      <c r="B172" s="855">
        <v>43623</v>
      </c>
      <c r="C172" s="854" t="s">
        <v>1740</v>
      </c>
      <c r="D172" s="854" t="s">
        <v>1753</v>
      </c>
      <c r="E172" s="854" t="s">
        <v>1764</v>
      </c>
      <c r="F172" s="856">
        <v>645</v>
      </c>
    </row>
    <row r="173" spans="1:6" ht="14.6" x14ac:dyDescent="0.4">
      <c r="A173" s="854" t="s">
        <v>576</v>
      </c>
      <c r="B173" s="855">
        <v>43626</v>
      </c>
      <c r="C173" s="854" t="s">
        <v>1741</v>
      </c>
      <c r="D173" s="854" t="s">
        <v>1747</v>
      </c>
      <c r="E173" s="854" t="s">
        <v>1765</v>
      </c>
      <c r="F173" s="856">
        <v>45</v>
      </c>
    </row>
    <row r="174" spans="1:6" ht="14.6" x14ac:dyDescent="0.4">
      <c r="A174" s="854" t="s">
        <v>575</v>
      </c>
      <c r="B174" s="855">
        <v>43626</v>
      </c>
      <c r="C174" s="854" t="s">
        <v>1742</v>
      </c>
      <c r="D174" s="854" t="s">
        <v>1590</v>
      </c>
      <c r="E174" s="854" t="s">
        <v>1766</v>
      </c>
      <c r="F174" s="856">
        <v>100</v>
      </c>
    </row>
    <row r="175" spans="1:6" ht="14.6" x14ac:dyDescent="0.4">
      <c r="A175" s="854" t="s">
        <v>575</v>
      </c>
      <c r="B175" s="855">
        <v>43627</v>
      </c>
      <c r="C175" s="854" t="s">
        <v>1743</v>
      </c>
      <c r="D175" s="854" t="s">
        <v>741</v>
      </c>
      <c r="E175" s="854" t="s">
        <v>1767</v>
      </c>
      <c r="F175" s="856">
        <v>572.96</v>
      </c>
    </row>
    <row r="176" spans="1:6" ht="14.6" x14ac:dyDescent="0.4">
      <c r="A176" s="854" t="s">
        <v>575</v>
      </c>
      <c r="B176" s="855">
        <v>43627</v>
      </c>
      <c r="C176" s="854" t="s">
        <v>1744</v>
      </c>
      <c r="D176" s="854" t="s">
        <v>741</v>
      </c>
      <c r="E176" s="854" t="s">
        <v>1768</v>
      </c>
      <c r="F176" s="856">
        <v>572.96</v>
      </c>
    </row>
    <row r="177" spans="1:6" ht="14.6" x14ac:dyDescent="0.4">
      <c r="A177" s="854" t="s">
        <v>575</v>
      </c>
      <c r="B177" s="855">
        <v>43627</v>
      </c>
      <c r="C177" s="854" t="s">
        <v>1744</v>
      </c>
      <c r="D177" s="854" t="s">
        <v>741</v>
      </c>
      <c r="E177" s="854" t="s">
        <v>1769</v>
      </c>
      <c r="F177" s="856">
        <v>50</v>
      </c>
    </row>
    <row r="178" spans="1:6" ht="14.6" x14ac:dyDescent="0.4">
      <c r="A178" s="854" t="s">
        <v>575</v>
      </c>
      <c r="B178" s="855">
        <v>43627</v>
      </c>
      <c r="C178" s="854" t="s">
        <v>1933</v>
      </c>
      <c r="D178" s="854" t="s">
        <v>1867</v>
      </c>
      <c r="E178" s="854" t="s">
        <v>1954</v>
      </c>
      <c r="F178" s="856">
        <v>100</v>
      </c>
    </row>
    <row r="179" spans="1:6" ht="14.6" x14ac:dyDescent="0.4">
      <c r="A179" s="854" t="s">
        <v>575</v>
      </c>
      <c r="B179" s="855">
        <v>43628</v>
      </c>
      <c r="C179" s="854" t="s">
        <v>1745</v>
      </c>
      <c r="D179" s="854" t="s">
        <v>2229</v>
      </c>
      <c r="E179" s="854" t="s">
        <v>1770</v>
      </c>
      <c r="F179" s="856">
        <v>16</v>
      </c>
    </row>
    <row r="180" spans="1:6" ht="14.6" x14ac:dyDescent="0.4">
      <c r="A180" s="854" t="s">
        <v>576</v>
      </c>
      <c r="B180" s="855">
        <v>43635</v>
      </c>
      <c r="C180" s="854" t="s">
        <v>1746</v>
      </c>
      <c r="D180" s="854" t="s">
        <v>739</v>
      </c>
      <c r="E180" s="854" t="s">
        <v>1771</v>
      </c>
      <c r="F180" s="856">
        <v>275</v>
      </c>
    </row>
    <row r="181" spans="1:6" ht="14.6" x14ac:dyDescent="0.4">
      <c r="A181" s="854" t="s">
        <v>576</v>
      </c>
      <c r="B181" s="855">
        <v>43635</v>
      </c>
      <c r="C181" s="854" t="s">
        <v>1746</v>
      </c>
      <c r="D181" s="854" t="s">
        <v>739</v>
      </c>
      <c r="E181" s="854" t="s">
        <v>1772</v>
      </c>
      <c r="F181" s="856">
        <v>275</v>
      </c>
    </row>
    <row r="182" spans="1:6" ht="14.6" x14ac:dyDescent="0.4">
      <c r="A182" s="854" t="s">
        <v>576</v>
      </c>
      <c r="B182" s="855">
        <v>43635</v>
      </c>
      <c r="C182" s="854" t="s">
        <v>1746</v>
      </c>
      <c r="D182" s="854" t="s">
        <v>739</v>
      </c>
      <c r="E182" s="854" t="s">
        <v>1773</v>
      </c>
      <c r="F182" s="856">
        <v>275</v>
      </c>
    </row>
    <row r="183" spans="1:6" ht="14.6" x14ac:dyDescent="0.4">
      <c r="A183" s="854" t="s">
        <v>576</v>
      </c>
      <c r="B183" s="855">
        <v>43635</v>
      </c>
      <c r="C183" s="854" t="s">
        <v>1746</v>
      </c>
      <c r="D183" s="854" t="s">
        <v>739</v>
      </c>
      <c r="E183" s="854" t="s">
        <v>1774</v>
      </c>
      <c r="F183" s="856">
        <v>275</v>
      </c>
    </row>
    <row r="184" spans="1:6" ht="14.6" x14ac:dyDescent="0.4">
      <c r="A184" s="854" t="s">
        <v>576</v>
      </c>
      <c r="B184" s="855">
        <v>43635</v>
      </c>
      <c r="C184" s="854" t="s">
        <v>1746</v>
      </c>
      <c r="D184" s="854" t="s">
        <v>739</v>
      </c>
      <c r="E184" s="854" t="s">
        <v>1775</v>
      </c>
      <c r="F184" s="856">
        <v>275</v>
      </c>
    </row>
    <row r="185" spans="1:6" ht="14.6" x14ac:dyDescent="0.4">
      <c r="A185" s="854" t="s">
        <v>576</v>
      </c>
      <c r="B185" s="855">
        <v>43635</v>
      </c>
      <c r="C185" s="854" t="s">
        <v>1746</v>
      </c>
      <c r="D185" s="854" t="s">
        <v>739</v>
      </c>
      <c r="E185" s="854" t="s">
        <v>1776</v>
      </c>
      <c r="F185" s="856">
        <v>275</v>
      </c>
    </row>
    <row r="186" spans="1:6" ht="14.6" x14ac:dyDescent="0.4">
      <c r="A186" s="854" t="s">
        <v>575</v>
      </c>
      <c r="B186" s="855">
        <v>43640</v>
      </c>
      <c r="C186" s="854" t="s">
        <v>1934</v>
      </c>
      <c r="D186" s="854" t="s">
        <v>1587</v>
      </c>
      <c r="E186" s="854" t="s">
        <v>1955</v>
      </c>
      <c r="F186" s="856">
        <v>360</v>
      </c>
    </row>
    <row r="187" spans="1:6" ht="14.6" x14ac:dyDescent="0.4">
      <c r="A187" s="854" t="s">
        <v>575</v>
      </c>
      <c r="B187" s="855">
        <v>43640</v>
      </c>
      <c r="C187" s="854" t="s">
        <v>1935</v>
      </c>
      <c r="D187" s="854" t="s">
        <v>741</v>
      </c>
      <c r="E187" s="854" t="s">
        <v>1956</v>
      </c>
      <c r="F187" s="856">
        <v>284</v>
      </c>
    </row>
    <row r="188" spans="1:6" ht="14.6" x14ac:dyDescent="0.4">
      <c r="A188" s="854" t="s">
        <v>575</v>
      </c>
      <c r="B188" s="855">
        <v>43640</v>
      </c>
      <c r="C188" s="854" t="s">
        <v>1936</v>
      </c>
      <c r="D188" s="854" t="s">
        <v>1950</v>
      </c>
      <c r="E188" s="854" t="s">
        <v>1956</v>
      </c>
      <c r="F188" s="856">
        <v>309</v>
      </c>
    </row>
    <row r="189" spans="1:6" ht="14.6" x14ac:dyDescent="0.4">
      <c r="A189" s="854" t="s">
        <v>575</v>
      </c>
      <c r="B189" s="855">
        <v>43640</v>
      </c>
      <c r="C189" s="854" t="s">
        <v>1937</v>
      </c>
      <c r="D189" s="854" t="s">
        <v>1950</v>
      </c>
      <c r="E189" s="854" t="s">
        <v>1956</v>
      </c>
      <c r="F189" s="856">
        <v>563</v>
      </c>
    </row>
    <row r="190" spans="1:6" ht="14.6" x14ac:dyDescent="0.4">
      <c r="A190" s="854" t="s">
        <v>575</v>
      </c>
      <c r="B190" s="855">
        <v>43641</v>
      </c>
      <c r="C190" s="854" t="s">
        <v>1938</v>
      </c>
      <c r="D190" s="854" t="s">
        <v>1951</v>
      </c>
      <c r="E190" s="854" t="s">
        <v>1957</v>
      </c>
      <c r="F190" s="856">
        <v>80.14</v>
      </c>
    </row>
    <row r="191" spans="1:6" ht="14.6" x14ac:dyDescent="0.4">
      <c r="A191" s="854" t="s">
        <v>575</v>
      </c>
      <c r="B191" s="855">
        <v>43641</v>
      </c>
      <c r="C191" s="854" t="s">
        <v>1939</v>
      </c>
      <c r="D191" s="854" t="s">
        <v>1951</v>
      </c>
      <c r="E191" s="854" t="s">
        <v>1957</v>
      </c>
      <c r="F191" s="856">
        <v>80.14</v>
      </c>
    </row>
    <row r="192" spans="1:6" ht="14.6" x14ac:dyDescent="0.4">
      <c r="A192" s="854" t="s">
        <v>576</v>
      </c>
      <c r="B192" s="855">
        <v>43642</v>
      </c>
      <c r="C192" s="854" t="s">
        <v>1940</v>
      </c>
      <c r="D192" s="854" t="s">
        <v>739</v>
      </c>
      <c r="E192" s="854" t="s">
        <v>1958</v>
      </c>
      <c r="F192" s="856">
        <v>40</v>
      </c>
    </row>
    <row r="193" spans="1:6" ht="14.6" x14ac:dyDescent="0.4">
      <c r="A193" s="854" t="s">
        <v>576</v>
      </c>
      <c r="B193" s="855">
        <v>43642</v>
      </c>
      <c r="C193" s="854" t="s">
        <v>1940</v>
      </c>
      <c r="D193" s="854" t="s">
        <v>739</v>
      </c>
      <c r="E193" s="854" t="s">
        <v>1959</v>
      </c>
      <c r="F193" s="856">
        <v>40</v>
      </c>
    </row>
    <row r="194" spans="1:6" ht="14.6" x14ac:dyDescent="0.4">
      <c r="A194" s="854" t="s">
        <v>576</v>
      </c>
      <c r="B194" s="855">
        <v>43647</v>
      </c>
      <c r="C194" s="854" t="s">
        <v>1941</v>
      </c>
      <c r="D194" s="854" t="s">
        <v>744</v>
      </c>
      <c r="E194" s="854" t="s">
        <v>1960</v>
      </c>
      <c r="F194" s="856">
        <v>0</v>
      </c>
    </row>
    <row r="195" spans="1:6" ht="14.6" x14ac:dyDescent="0.4">
      <c r="A195" s="854" t="s">
        <v>575</v>
      </c>
      <c r="B195" s="855">
        <v>43655</v>
      </c>
      <c r="C195" s="854" t="s">
        <v>1942</v>
      </c>
      <c r="D195" s="854" t="s">
        <v>962</v>
      </c>
      <c r="E195" s="854" t="s">
        <v>1961</v>
      </c>
      <c r="F195" s="856">
        <v>32.67</v>
      </c>
    </row>
    <row r="196" spans="1:6" ht="14.6" x14ac:dyDescent="0.4">
      <c r="A196" s="854" t="s">
        <v>576</v>
      </c>
      <c r="B196" s="855">
        <v>43656</v>
      </c>
      <c r="C196" s="854" t="s">
        <v>2176</v>
      </c>
      <c r="D196" s="854" t="s">
        <v>2230</v>
      </c>
      <c r="E196" s="854" t="s">
        <v>2244</v>
      </c>
      <c r="F196" s="856">
        <v>10.199999999999999</v>
      </c>
    </row>
    <row r="197" spans="1:6" ht="14.6" x14ac:dyDescent="0.4">
      <c r="A197" s="854" t="s">
        <v>576</v>
      </c>
      <c r="B197" s="855">
        <v>43656</v>
      </c>
      <c r="C197" s="854" t="s">
        <v>2176</v>
      </c>
      <c r="D197" s="854" t="s">
        <v>2230</v>
      </c>
      <c r="E197" s="854" t="s">
        <v>2245</v>
      </c>
      <c r="F197" s="856">
        <v>20.49</v>
      </c>
    </row>
    <row r="198" spans="1:6" ht="14.6" x14ac:dyDescent="0.4">
      <c r="A198" s="854" t="s">
        <v>576</v>
      </c>
      <c r="B198" s="855">
        <v>43656</v>
      </c>
      <c r="C198" s="854" t="s">
        <v>2176</v>
      </c>
      <c r="D198" s="854" t="s">
        <v>2230</v>
      </c>
      <c r="E198" s="854" t="s">
        <v>2246</v>
      </c>
      <c r="F198" s="856">
        <v>40.700000000000003</v>
      </c>
    </row>
    <row r="199" spans="1:6" ht="14.6" x14ac:dyDescent="0.4">
      <c r="A199" s="854" t="s">
        <v>575</v>
      </c>
      <c r="B199" s="855">
        <v>43660</v>
      </c>
      <c r="C199" s="854" t="s">
        <v>1943</v>
      </c>
      <c r="D199" s="854" t="s">
        <v>1952</v>
      </c>
      <c r="E199" s="854" t="s">
        <v>1962</v>
      </c>
      <c r="F199" s="856">
        <v>85</v>
      </c>
    </row>
    <row r="200" spans="1:6" ht="14.6" x14ac:dyDescent="0.4">
      <c r="A200" s="854" t="s">
        <v>576</v>
      </c>
      <c r="B200" s="855">
        <v>43663</v>
      </c>
      <c r="C200" s="854" t="s">
        <v>1584</v>
      </c>
      <c r="D200" s="854" t="s">
        <v>2231</v>
      </c>
      <c r="E200" s="854" t="s">
        <v>2247</v>
      </c>
      <c r="F200" s="856">
        <v>1114.0999999999999</v>
      </c>
    </row>
    <row r="201" spans="1:6" ht="14.6" x14ac:dyDescent="0.4">
      <c r="A201" s="854" t="s">
        <v>576</v>
      </c>
      <c r="B201" s="855">
        <v>43664</v>
      </c>
      <c r="C201" s="854" t="s">
        <v>1584</v>
      </c>
      <c r="D201" s="854" t="s">
        <v>1953</v>
      </c>
      <c r="E201" s="854" t="s">
        <v>1963</v>
      </c>
      <c r="F201" s="856">
        <v>1055.73</v>
      </c>
    </row>
    <row r="202" spans="1:6" ht="14.6" x14ac:dyDescent="0.4">
      <c r="A202" s="854" t="s">
        <v>576</v>
      </c>
      <c r="B202" s="855">
        <v>43664</v>
      </c>
      <c r="C202" s="854" t="s">
        <v>1944</v>
      </c>
      <c r="D202" s="854" t="s">
        <v>739</v>
      </c>
      <c r="E202" s="854" t="s">
        <v>1964</v>
      </c>
      <c r="F202" s="856">
        <v>300</v>
      </c>
    </row>
    <row r="203" spans="1:6" ht="14.6" x14ac:dyDescent="0.4">
      <c r="A203" s="854" t="s">
        <v>576</v>
      </c>
      <c r="B203" s="855">
        <v>43664</v>
      </c>
      <c r="C203" s="854" t="s">
        <v>1586</v>
      </c>
      <c r="D203" s="854" t="s">
        <v>739</v>
      </c>
      <c r="E203" s="854" t="s">
        <v>1965</v>
      </c>
      <c r="F203" s="856">
        <v>300</v>
      </c>
    </row>
    <row r="204" spans="1:6" ht="14.6" x14ac:dyDescent="0.4">
      <c r="A204" s="854" t="s">
        <v>576</v>
      </c>
      <c r="B204" s="855">
        <v>43664</v>
      </c>
      <c r="C204" s="854" t="s">
        <v>1945</v>
      </c>
      <c r="D204" s="854" t="s">
        <v>739</v>
      </c>
      <c r="E204" s="854" t="s">
        <v>1966</v>
      </c>
      <c r="F204" s="856">
        <v>750</v>
      </c>
    </row>
    <row r="205" spans="1:6" ht="14.6" x14ac:dyDescent="0.4">
      <c r="A205" s="854" t="s">
        <v>575</v>
      </c>
      <c r="B205" s="855">
        <v>43665</v>
      </c>
      <c r="C205" s="854" t="s">
        <v>1946</v>
      </c>
      <c r="D205" s="854" t="s">
        <v>758</v>
      </c>
      <c r="E205" s="854" t="s">
        <v>1967</v>
      </c>
      <c r="F205" s="856">
        <v>115</v>
      </c>
    </row>
    <row r="206" spans="1:6" ht="14.6" x14ac:dyDescent="0.4">
      <c r="A206" s="854" t="s">
        <v>576</v>
      </c>
      <c r="B206" s="855">
        <v>43668</v>
      </c>
      <c r="C206" s="854" t="s">
        <v>1947</v>
      </c>
      <c r="D206" s="854" t="s">
        <v>1747</v>
      </c>
      <c r="E206" s="854" t="s">
        <v>1968</v>
      </c>
      <c r="F206" s="856">
        <v>45</v>
      </c>
    </row>
    <row r="207" spans="1:6" ht="14.6" x14ac:dyDescent="0.4">
      <c r="A207" s="854" t="s">
        <v>576</v>
      </c>
      <c r="B207" s="855">
        <v>43668</v>
      </c>
      <c r="C207" s="854" t="s">
        <v>1948</v>
      </c>
      <c r="D207" s="854" t="s">
        <v>1747</v>
      </c>
      <c r="E207" s="854" t="s">
        <v>1969</v>
      </c>
      <c r="F207" s="856">
        <v>45</v>
      </c>
    </row>
    <row r="208" spans="1:6" ht="14.6" x14ac:dyDescent="0.4">
      <c r="A208" s="854" t="s">
        <v>576</v>
      </c>
      <c r="B208" s="855">
        <v>43668</v>
      </c>
      <c r="C208" s="854" t="s">
        <v>1949</v>
      </c>
      <c r="D208" s="854" t="s">
        <v>739</v>
      </c>
      <c r="E208" s="854" t="s">
        <v>1970</v>
      </c>
      <c r="F208" s="856">
        <v>40</v>
      </c>
    </row>
    <row r="209" spans="1:6" ht="14.6" x14ac:dyDescent="0.4">
      <c r="A209" s="854" t="s">
        <v>576</v>
      </c>
      <c r="B209" s="855">
        <v>43668</v>
      </c>
      <c r="C209" s="854" t="s">
        <v>1949</v>
      </c>
      <c r="D209" s="854" t="s">
        <v>739</v>
      </c>
      <c r="E209" s="854" t="s">
        <v>1971</v>
      </c>
      <c r="F209" s="856">
        <v>40</v>
      </c>
    </row>
    <row r="210" spans="1:6" ht="14.6" x14ac:dyDescent="0.4">
      <c r="A210" s="854" t="s">
        <v>576</v>
      </c>
      <c r="B210" s="855">
        <v>43668</v>
      </c>
      <c r="C210" s="854" t="s">
        <v>1949</v>
      </c>
      <c r="D210" s="854" t="s">
        <v>739</v>
      </c>
      <c r="E210" s="854" t="s">
        <v>1972</v>
      </c>
      <c r="F210" s="856">
        <v>40</v>
      </c>
    </row>
    <row r="211" spans="1:6" ht="14.6" x14ac:dyDescent="0.4">
      <c r="A211" s="854" t="s">
        <v>575</v>
      </c>
      <c r="B211" s="855">
        <v>43669</v>
      </c>
      <c r="C211" s="854" t="s">
        <v>2177</v>
      </c>
      <c r="D211" s="854" t="s">
        <v>2232</v>
      </c>
      <c r="E211" s="854" t="s">
        <v>2248</v>
      </c>
      <c r="F211" s="856">
        <v>24.9</v>
      </c>
    </row>
    <row r="212" spans="1:6" ht="14.6" x14ac:dyDescent="0.4">
      <c r="A212" s="854" t="s">
        <v>575</v>
      </c>
      <c r="B212" s="855">
        <v>43671</v>
      </c>
      <c r="C212" s="854" t="s">
        <v>2178</v>
      </c>
      <c r="D212" s="854" t="s">
        <v>2233</v>
      </c>
      <c r="E212" s="854" t="s">
        <v>2249</v>
      </c>
      <c r="F212" s="856">
        <v>250</v>
      </c>
    </row>
    <row r="213" spans="1:6" ht="14.6" x14ac:dyDescent="0.4">
      <c r="A213" s="854" t="s">
        <v>576</v>
      </c>
      <c r="B213" s="855">
        <v>43678</v>
      </c>
      <c r="C213" s="854" t="s">
        <v>2179</v>
      </c>
      <c r="D213" s="854" t="s">
        <v>758</v>
      </c>
      <c r="E213" s="854" t="s">
        <v>2250</v>
      </c>
      <c r="F213" s="856">
        <v>330</v>
      </c>
    </row>
    <row r="214" spans="1:6" ht="14.6" x14ac:dyDescent="0.4">
      <c r="A214" s="854" t="s">
        <v>576</v>
      </c>
      <c r="B214" s="855">
        <v>43678</v>
      </c>
      <c r="C214" s="854" t="s">
        <v>2180</v>
      </c>
      <c r="D214" s="854" t="s">
        <v>739</v>
      </c>
      <c r="E214" s="854" t="s">
        <v>2251</v>
      </c>
      <c r="F214" s="856">
        <v>40</v>
      </c>
    </row>
    <row r="215" spans="1:6" ht="14.6" x14ac:dyDescent="0.4">
      <c r="A215" s="854" t="s">
        <v>576</v>
      </c>
      <c r="B215" s="855">
        <v>43678</v>
      </c>
      <c r="C215" s="854" t="s">
        <v>2180</v>
      </c>
      <c r="D215" s="854" t="s">
        <v>739</v>
      </c>
      <c r="E215" s="854" t="s">
        <v>2252</v>
      </c>
      <c r="F215" s="856">
        <v>40</v>
      </c>
    </row>
    <row r="216" spans="1:6" ht="14.6" x14ac:dyDescent="0.4">
      <c r="A216" s="854" t="s">
        <v>576</v>
      </c>
      <c r="B216" s="855">
        <v>43678</v>
      </c>
      <c r="C216" s="854" t="s">
        <v>2180</v>
      </c>
      <c r="D216" s="854" t="s">
        <v>739</v>
      </c>
      <c r="E216" s="854" t="s">
        <v>2253</v>
      </c>
      <c r="F216" s="856">
        <v>40</v>
      </c>
    </row>
    <row r="217" spans="1:6" ht="14.6" x14ac:dyDescent="0.4">
      <c r="A217" s="854" t="s">
        <v>576</v>
      </c>
      <c r="B217" s="855">
        <v>43678</v>
      </c>
      <c r="C217" s="854" t="s">
        <v>2181</v>
      </c>
      <c r="D217" s="854" t="s">
        <v>739</v>
      </c>
      <c r="E217" s="854" t="s">
        <v>2254</v>
      </c>
      <c r="F217" s="856">
        <v>40</v>
      </c>
    </row>
    <row r="218" spans="1:6" ht="14.6" x14ac:dyDescent="0.4">
      <c r="A218" s="854" t="s">
        <v>576</v>
      </c>
      <c r="B218" s="855">
        <v>43679</v>
      </c>
      <c r="C218" s="854" t="s">
        <v>2179</v>
      </c>
      <c r="D218" s="854" t="s">
        <v>758</v>
      </c>
      <c r="E218" s="854" t="s">
        <v>2255</v>
      </c>
      <c r="F218" s="856">
        <v>165</v>
      </c>
    </row>
    <row r="219" spans="1:6" ht="14.6" x14ac:dyDescent="0.4">
      <c r="A219" s="854" t="s">
        <v>575</v>
      </c>
      <c r="B219" s="855">
        <v>43682</v>
      </c>
      <c r="C219" s="854" t="s">
        <v>2182</v>
      </c>
      <c r="D219" s="854" t="s">
        <v>758</v>
      </c>
      <c r="E219" s="854" t="s">
        <v>2256</v>
      </c>
      <c r="F219" s="856">
        <v>315</v>
      </c>
    </row>
    <row r="220" spans="1:6" ht="14.6" x14ac:dyDescent="0.4">
      <c r="A220" s="854" t="s">
        <v>575</v>
      </c>
      <c r="B220" s="855">
        <v>43682</v>
      </c>
      <c r="C220" s="854" t="s">
        <v>2182</v>
      </c>
      <c r="D220" s="854" t="s">
        <v>758</v>
      </c>
      <c r="E220" s="854" t="s">
        <v>2257</v>
      </c>
      <c r="F220" s="856">
        <v>165</v>
      </c>
    </row>
    <row r="221" spans="1:6" ht="14.6" x14ac:dyDescent="0.4">
      <c r="A221" s="854" t="s">
        <v>575</v>
      </c>
      <c r="B221" s="855">
        <v>43682</v>
      </c>
      <c r="C221" s="854" t="s">
        <v>2183</v>
      </c>
      <c r="D221" s="854" t="s">
        <v>739</v>
      </c>
      <c r="E221" s="854" t="s">
        <v>2258</v>
      </c>
      <c r="F221" s="856">
        <v>50</v>
      </c>
    </row>
    <row r="222" spans="1:6" ht="14.6" x14ac:dyDescent="0.4">
      <c r="A222" s="854" t="s">
        <v>575</v>
      </c>
      <c r="B222" s="855">
        <v>43682</v>
      </c>
      <c r="C222" s="854" t="s">
        <v>2184</v>
      </c>
      <c r="D222" s="854" t="s">
        <v>739</v>
      </c>
      <c r="E222" s="854" t="s">
        <v>2259</v>
      </c>
      <c r="F222" s="856">
        <v>50</v>
      </c>
    </row>
    <row r="223" spans="1:6" ht="14.6" x14ac:dyDescent="0.4">
      <c r="A223" s="854" t="s">
        <v>575</v>
      </c>
      <c r="B223" s="855">
        <v>43684</v>
      </c>
      <c r="C223" s="854" t="s">
        <v>2185</v>
      </c>
      <c r="D223" s="854" t="s">
        <v>961</v>
      </c>
      <c r="E223" s="854" t="s">
        <v>2260</v>
      </c>
      <c r="F223" s="856">
        <v>34</v>
      </c>
    </row>
    <row r="224" spans="1:6" ht="14.6" x14ac:dyDescent="0.4">
      <c r="A224" s="854" t="s">
        <v>576</v>
      </c>
      <c r="B224" s="855">
        <v>43685</v>
      </c>
      <c r="C224" s="854" t="s">
        <v>2179</v>
      </c>
      <c r="D224" s="854" t="s">
        <v>758</v>
      </c>
      <c r="E224" s="854" t="s">
        <v>2261</v>
      </c>
      <c r="F224" s="856">
        <v>115</v>
      </c>
    </row>
    <row r="225" spans="1:6" ht="14.6" x14ac:dyDescent="0.4">
      <c r="A225" s="854" t="s">
        <v>576</v>
      </c>
      <c r="B225" s="855">
        <v>43685</v>
      </c>
      <c r="C225" s="854" t="s">
        <v>2181</v>
      </c>
      <c r="D225" s="854" t="s">
        <v>739</v>
      </c>
      <c r="E225" s="854" t="s">
        <v>2262</v>
      </c>
      <c r="F225" s="856">
        <v>40</v>
      </c>
    </row>
    <row r="226" spans="1:6" ht="14.6" x14ac:dyDescent="0.4">
      <c r="A226" s="854" t="s">
        <v>575</v>
      </c>
      <c r="B226" s="855">
        <v>43690</v>
      </c>
      <c r="C226" s="854" t="s">
        <v>2186</v>
      </c>
      <c r="D226" s="854" t="s">
        <v>1747</v>
      </c>
      <c r="E226" s="854" t="s">
        <v>2263</v>
      </c>
      <c r="F226" s="856">
        <v>45</v>
      </c>
    </row>
    <row r="227" spans="1:6" ht="14.6" x14ac:dyDescent="0.4">
      <c r="A227" s="854" t="s">
        <v>575</v>
      </c>
      <c r="B227" s="855">
        <v>43690</v>
      </c>
      <c r="C227" s="854" t="s">
        <v>2187</v>
      </c>
      <c r="D227" s="854" t="s">
        <v>593</v>
      </c>
      <c r="E227" s="854" t="s">
        <v>2264</v>
      </c>
      <c r="F227" s="856">
        <v>204.18</v>
      </c>
    </row>
    <row r="228" spans="1:6" ht="14.6" x14ac:dyDescent="0.4">
      <c r="A228" s="854" t="s">
        <v>575</v>
      </c>
      <c r="B228" s="855">
        <v>43691</v>
      </c>
      <c r="C228" s="854" t="s">
        <v>2188</v>
      </c>
      <c r="D228" s="854" t="s">
        <v>2234</v>
      </c>
      <c r="E228" s="854" t="s">
        <v>2265</v>
      </c>
      <c r="F228" s="856">
        <v>112.5</v>
      </c>
    </row>
    <row r="229" spans="1:6" ht="14.6" x14ac:dyDescent="0.4">
      <c r="A229" s="854" t="s">
        <v>575</v>
      </c>
      <c r="B229" s="855">
        <v>43691</v>
      </c>
      <c r="C229" s="854" t="s">
        <v>2189</v>
      </c>
      <c r="D229" s="854" t="s">
        <v>2235</v>
      </c>
      <c r="E229" s="854" t="s">
        <v>2264</v>
      </c>
      <c r="F229" s="856">
        <v>25.82</v>
      </c>
    </row>
    <row r="230" spans="1:6" ht="14.6" x14ac:dyDescent="0.4">
      <c r="A230" s="854" t="s">
        <v>575</v>
      </c>
      <c r="B230" s="855">
        <v>43692</v>
      </c>
      <c r="C230" s="854" t="s">
        <v>2190</v>
      </c>
      <c r="D230" s="854" t="s">
        <v>2236</v>
      </c>
      <c r="E230" s="854" t="s">
        <v>2265</v>
      </c>
      <c r="F230" s="856">
        <v>134.99</v>
      </c>
    </row>
    <row r="231" spans="1:6" ht="14.6" x14ac:dyDescent="0.4">
      <c r="A231" s="854" t="s">
        <v>575</v>
      </c>
      <c r="B231" s="855">
        <v>43692</v>
      </c>
      <c r="C231" s="854" t="s">
        <v>2191</v>
      </c>
      <c r="D231" s="854" t="s">
        <v>2235</v>
      </c>
      <c r="E231" s="854" t="s">
        <v>2264</v>
      </c>
      <c r="F231" s="856">
        <v>19.43</v>
      </c>
    </row>
    <row r="232" spans="1:6" ht="14.6" x14ac:dyDescent="0.4">
      <c r="A232" s="854" t="s">
        <v>576</v>
      </c>
      <c r="B232" s="855">
        <v>43693</v>
      </c>
      <c r="C232" s="854" t="s">
        <v>2192</v>
      </c>
      <c r="D232" s="854" t="s">
        <v>1751</v>
      </c>
      <c r="E232" s="854" t="s">
        <v>2266</v>
      </c>
      <c r="F232" s="856">
        <v>1094.75</v>
      </c>
    </row>
    <row r="233" spans="1:6" ht="14.6" x14ac:dyDescent="0.4">
      <c r="A233" s="854" t="s">
        <v>576</v>
      </c>
      <c r="B233" s="855">
        <v>43693</v>
      </c>
      <c r="C233" s="854" t="s">
        <v>1581</v>
      </c>
      <c r="D233" s="854" t="s">
        <v>739</v>
      </c>
      <c r="E233" s="854" t="s">
        <v>2267</v>
      </c>
      <c r="F233" s="856">
        <v>300</v>
      </c>
    </row>
    <row r="234" spans="1:6" ht="14.6" x14ac:dyDescent="0.4">
      <c r="A234" s="854" t="s">
        <v>576</v>
      </c>
      <c r="B234" s="855">
        <v>43693</v>
      </c>
      <c r="C234" s="854" t="s">
        <v>1581</v>
      </c>
      <c r="D234" s="854" t="s">
        <v>739</v>
      </c>
      <c r="E234" s="854" t="s">
        <v>2268</v>
      </c>
      <c r="F234" s="856">
        <v>350</v>
      </c>
    </row>
    <row r="235" spans="1:6" ht="14.6" x14ac:dyDescent="0.4">
      <c r="A235" s="854" t="s">
        <v>576</v>
      </c>
      <c r="B235" s="855">
        <v>43693</v>
      </c>
      <c r="C235" s="854" t="s">
        <v>1581</v>
      </c>
      <c r="D235" s="854" t="s">
        <v>739</v>
      </c>
      <c r="E235" s="854" t="s">
        <v>2269</v>
      </c>
      <c r="F235" s="856">
        <v>100</v>
      </c>
    </row>
    <row r="236" spans="1:6" ht="14.6" x14ac:dyDescent="0.4">
      <c r="A236" s="854" t="s">
        <v>576</v>
      </c>
      <c r="B236" s="855">
        <v>43693</v>
      </c>
      <c r="C236" s="854" t="s">
        <v>1581</v>
      </c>
      <c r="D236" s="854" t="s">
        <v>739</v>
      </c>
      <c r="E236" s="854" t="s">
        <v>2270</v>
      </c>
      <c r="F236" s="856">
        <v>100</v>
      </c>
    </row>
    <row r="237" spans="1:6" ht="14.6" x14ac:dyDescent="0.4">
      <c r="A237" s="854" t="s">
        <v>576</v>
      </c>
      <c r="B237" s="855">
        <v>43693</v>
      </c>
      <c r="C237" s="854" t="s">
        <v>1581</v>
      </c>
      <c r="D237" s="854" t="s">
        <v>739</v>
      </c>
      <c r="E237" s="854" t="s">
        <v>2271</v>
      </c>
      <c r="F237" s="856">
        <v>100</v>
      </c>
    </row>
    <row r="238" spans="1:6" ht="14.6" x14ac:dyDescent="0.4">
      <c r="A238" s="854" t="s">
        <v>576</v>
      </c>
      <c r="B238" s="855">
        <v>43693</v>
      </c>
      <c r="C238" s="854" t="s">
        <v>1581</v>
      </c>
      <c r="D238" s="854" t="s">
        <v>739</v>
      </c>
      <c r="E238" s="854" t="s">
        <v>2272</v>
      </c>
      <c r="F238" s="856">
        <v>100</v>
      </c>
    </row>
    <row r="239" spans="1:6" ht="14.6" x14ac:dyDescent="0.4">
      <c r="A239" s="854" t="s">
        <v>576</v>
      </c>
      <c r="B239" s="855">
        <v>43693</v>
      </c>
      <c r="C239" s="854" t="s">
        <v>1581</v>
      </c>
      <c r="D239" s="854" t="s">
        <v>739</v>
      </c>
      <c r="E239" s="854" t="s">
        <v>2273</v>
      </c>
      <c r="F239" s="856">
        <v>200</v>
      </c>
    </row>
    <row r="240" spans="1:6" ht="14.6" x14ac:dyDescent="0.4">
      <c r="A240" s="854" t="s">
        <v>576</v>
      </c>
      <c r="B240" s="855">
        <v>43693</v>
      </c>
      <c r="C240" s="854" t="s">
        <v>1581</v>
      </c>
      <c r="D240" s="854" t="s">
        <v>739</v>
      </c>
      <c r="E240" s="854" t="s">
        <v>2274</v>
      </c>
      <c r="F240" s="856">
        <v>200</v>
      </c>
    </row>
    <row r="241" spans="1:6" ht="14.6" x14ac:dyDescent="0.4">
      <c r="A241" s="854" t="s">
        <v>576</v>
      </c>
      <c r="B241" s="855">
        <v>43693</v>
      </c>
      <c r="C241" s="854" t="s">
        <v>1581</v>
      </c>
      <c r="D241" s="854" t="s">
        <v>739</v>
      </c>
      <c r="E241" s="854" t="s">
        <v>2275</v>
      </c>
      <c r="F241" s="856">
        <v>200</v>
      </c>
    </row>
    <row r="242" spans="1:6" ht="14.6" x14ac:dyDescent="0.4">
      <c r="A242" s="854" t="s">
        <v>576</v>
      </c>
      <c r="B242" s="855">
        <v>43693</v>
      </c>
      <c r="C242" s="854" t="s">
        <v>1581</v>
      </c>
      <c r="D242" s="854" t="s">
        <v>739</v>
      </c>
      <c r="E242" s="854" t="s">
        <v>2276</v>
      </c>
      <c r="F242" s="856">
        <v>125</v>
      </c>
    </row>
    <row r="243" spans="1:6" ht="14.6" x14ac:dyDescent="0.4">
      <c r="A243" s="854" t="s">
        <v>576</v>
      </c>
      <c r="B243" s="855">
        <v>43693</v>
      </c>
      <c r="C243" s="854" t="s">
        <v>1581</v>
      </c>
      <c r="D243" s="854" t="s">
        <v>739</v>
      </c>
      <c r="E243" s="854" t="s">
        <v>2277</v>
      </c>
      <c r="F243" s="856">
        <v>125</v>
      </c>
    </row>
    <row r="244" spans="1:6" ht="14.6" x14ac:dyDescent="0.4">
      <c r="A244" s="854" t="s">
        <v>576</v>
      </c>
      <c r="B244" s="855">
        <v>43693</v>
      </c>
      <c r="C244" s="854" t="s">
        <v>2193</v>
      </c>
      <c r="D244" s="854" t="s">
        <v>739</v>
      </c>
      <c r="E244" s="854" t="s">
        <v>2278</v>
      </c>
      <c r="F244" s="856">
        <v>490</v>
      </c>
    </row>
    <row r="245" spans="1:6" ht="14.6" x14ac:dyDescent="0.4">
      <c r="A245" s="854" t="s">
        <v>576</v>
      </c>
      <c r="B245" s="855">
        <v>43693</v>
      </c>
      <c r="C245" s="854" t="s">
        <v>2193</v>
      </c>
      <c r="D245" s="854" t="s">
        <v>739</v>
      </c>
      <c r="E245" s="854" t="s">
        <v>2279</v>
      </c>
      <c r="F245" s="856">
        <v>490</v>
      </c>
    </row>
    <row r="246" spans="1:6" ht="14.6" x14ac:dyDescent="0.4">
      <c r="A246" s="854" t="s">
        <v>576</v>
      </c>
      <c r="B246" s="855">
        <v>43693</v>
      </c>
      <c r="C246" s="854" t="s">
        <v>2193</v>
      </c>
      <c r="D246" s="854" t="s">
        <v>739</v>
      </c>
      <c r="E246" s="854" t="s">
        <v>2280</v>
      </c>
      <c r="F246" s="856">
        <v>225</v>
      </c>
    </row>
    <row r="247" spans="1:6" ht="14.6" x14ac:dyDescent="0.4">
      <c r="A247" s="854" t="s">
        <v>576</v>
      </c>
      <c r="B247" s="855">
        <v>43693</v>
      </c>
      <c r="C247" s="854" t="s">
        <v>2193</v>
      </c>
      <c r="D247" s="854" t="s">
        <v>739</v>
      </c>
      <c r="E247" s="854" t="s">
        <v>2281</v>
      </c>
      <c r="F247" s="856">
        <v>400</v>
      </c>
    </row>
    <row r="248" spans="1:6" ht="14.6" x14ac:dyDescent="0.4">
      <c r="A248" s="854" t="s">
        <v>576</v>
      </c>
      <c r="B248" s="855">
        <v>43693</v>
      </c>
      <c r="C248" s="854" t="s">
        <v>2193</v>
      </c>
      <c r="D248" s="854" t="s">
        <v>739</v>
      </c>
      <c r="E248" s="854" t="s">
        <v>2282</v>
      </c>
      <c r="F248" s="856">
        <v>75</v>
      </c>
    </row>
    <row r="249" spans="1:6" ht="14.6" x14ac:dyDescent="0.4">
      <c r="A249" s="854" t="s">
        <v>576</v>
      </c>
      <c r="B249" s="855">
        <v>43693</v>
      </c>
      <c r="C249" s="854" t="s">
        <v>2193</v>
      </c>
      <c r="D249" s="854" t="s">
        <v>739</v>
      </c>
      <c r="E249" s="854" t="s">
        <v>2283</v>
      </c>
      <c r="F249" s="856">
        <v>75</v>
      </c>
    </row>
    <row r="250" spans="1:6" ht="14.6" x14ac:dyDescent="0.4">
      <c r="A250" s="854" t="s">
        <v>576</v>
      </c>
      <c r="B250" s="855">
        <v>43693</v>
      </c>
      <c r="C250" s="854" t="s">
        <v>2193</v>
      </c>
      <c r="D250" s="854" t="s">
        <v>739</v>
      </c>
      <c r="E250" s="854" t="s">
        <v>2284</v>
      </c>
      <c r="F250" s="856">
        <v>75</v>
      </c>
    </row>
    <row r="251" spans="1:6" ht="14.6" x14ac:dyDescent="0.4">
      <c r="A251" s="854" t="s">
        <v>576</v>
      </c>
      <c r="B251" s="855">
        <v>43693</v>
      </c>
      <c r="C251" s="854" t="s">
        <v>2193</v>
      </c>
      <c r="D251" s="854" t="s">
        <v>739</v>
      </c>
      <c r="E251" s="854" t="s">
        <v>2285</v>
      </c>
      <c r="F251" s="856">
        <v>75</v>
      </c>
    </row>
    <row r="252" spans="1:6" ht="14.6" x14ac:dyDescent="0.4">
      <c r="A252" s="854" t="s">
        <v>576</v>
      </c>
      <c r="B252" s="855">
        <v>43693</v>
      </c>
      <c r="C252" s="854" t="s">
        <v>2193</v>
      </c>
      <c r="D252" s="854" t="s">
        <v>739</v>
      </c>
      <c r="E252" s="854" t="s">
        <v>2286</v>
      </c>
      <c r="F252" s="856">
        <v>75</v>
      </c>
    </row>
    <row r="253" spans="1:6" ht="14.6" x14ac:dyDescent="0.4">
      <c r="A253" s="854" t="s">
        <v>575</v>
      </c>
      <c r="B253" s="855">
        <v>43693</v>
      </c>
      <c r="C253" s="854" t="s">
        <v>2194</v>
      </c>
      <c r="D253" s="854" t="s">
        <v>2237</v>
      </c>
      <c r="E253" s="854" t="s">
        <v>2287</v>
      </c>
      <c r="F253" s="856">
        <v>54.88</v>
      </c>
    </row>
    <row r="254" spans="1:6" ht="14.6" x14ac:dyDescent="0.4">
      <c r="A254" s="854" t="s">
        <v>575</v>
      </c>
      <c r="B254" s="855">
        <v>43695</v>
      </c>
      <c r="C254" s="854" t="s">
        <v>2195</v>
      </c>
      <c r="D254" s="854" t="s">
        <v>2238</v>
      </c>
      <c r="E254" s="854" t="s">
        <v>2288</v>
      </c>
      <c r="F254" s="856">
        <v>101</v>
      </c>
    </row>
    <row r="255" spans="1:6" ht="14.6" x14ac:dyDescent="0.4">
      <c r="A255" s="854" t="s">
        <v>576</v>
      </c>
      <c r="B255" s="855">
        <v>43696</v>
      </c>
      <c r="C255" s="854" t="s">
        <v>2192</v>
      </c>
      <c r="D255" s="854" t="s">
        <v>1470</v>
      </c>
      <c r="E255" s="854" t="s">
        <v>2289</v>
      </c>
      <c r="F255" s="856">
        <v>55.3</v>
      </c>
    </row>
    <row r="256" spans="1:6" ht="14.6" x14ac:dyDescent="0.4">
      <c r="A256" s="854" t="s">
        <v>575</v>
      </c>
      <c r="B256" s="855">
        <v>43696</v>
      </c>
      <c r="C256" s="854" t="s">
        <v>2196</v>
      </c>
      <c r="D256" s="854" t="s">
        <v>758</v>
      </c>
      <c r="E256" s="854" t="s">
        <v>2290</v>
      </c>
      <c r="F256" s="856">
        <v>165</v>
      </c>
    </row>
    <row r="257" spans="1:6" ht="14.6" x14ac:dyDescent="0.4">
      <c r="A257" s="854" t="s">
        <v>575</v>
      </c>
      <c r="B257" s="855">
        <v>43696</v>
      </c>
      <c r="C257" s="854" t="s">
        <v>2197</v>
      </c>
      <c r="D257" s="854" t="s">
        <v>2239</v>
      </c>
      <c r="E257" s="854" t="s">
        <v>2291</v>
      </c>
      <c r="F257" s="856">
        <v>72</v>
      </c>
    </row>
    <row r="258" spans="1:6" ht="14.6" x14ac:dyDescent="0.4">
      <c r="A258" s="854" t="s">
        <v>576</v>
      </c>
      <c r="B258" s="855">
        <v>43697</v>
      </c>
      <c r="C258" s="854" t="s">
        <v>2198</v>
      </c>
      <c r="D258" s="854" t="s">
        <v>1747</v>
      </c>
      <c r="E258" s="854" t="s">
        <v>2292</v>
      </c>
      <c r="F258" s="856">
        <v>45</v>
      </c>
    </row>
    <row r="259" spans="1:6" ht="14.6" x14ac:dyDescent="0.4">
      <c r="A259" s="854" t="s">
        <v>575</v>
      </c>
      <c r="B259" s="855">
        <v>43697</v>
      </c>
      <c r="C259" s="854" t="s">
        <v>2199</v>
      </c>
      <c r="D259" s="854" t="s">
        <v>1245</v>
      </c>
      <c r="E259" s="854" t="s">
        <v>2293</v>
      </c>
      <c r="F259" s="856">
        <v>437.38</v>
      </c>
    </row>
    <row r="260" spans="1:6" ht="14.6" x14ac:dyDescent="0.4">
      <c r="A260" s="854" t="s">
        <v>575</v>
      </c>
      <c r="B260" s="855">
        <v>43697</v>
      </c>
      <c r="C260" s="854" t="s">
        <v>2200</v>
      </c>
      <c r="D260" s="854" t="s">
        <v>1245</v>
      </c>
      <c r="E260" s="854" t="s">
        <v>2294</v>
      </c>
      <c r="F260" s="856">
        <v>437.38</v>
      </c>
    </row>
    <row r="261" spans="1:6" ht="14.6" x14ac:dyDescent="0.4">
      <c r="A261" s="854" t="s">
        <v>575</v>
      </c>
      <c r="B261" s="855">
        <v>43697</v>
      </c>
      <c r="C261" s="854" t="s">
        <v>2201</v>
      </c>
      <c r="D261" s="854" t="s">
        <v>1245</v>
      </c>
      <c r="E261" s="854" t="s">
        <v>2295</v>
      </c>
      <c r="F261" s="856">
        <v>460.11</v>
      </c>
    </row>
    <row r="262" spans="1:6" ht="14.6" x14ac:dyDescent="0.4">
      <c r="A262" s="854" t="s">
        <v>575</v>
      </c>
      <c r="B262" s="855">
        <v>43697</v>
      </c>
      <c r="C262" s="854" t="s">
        <v>2202</v>
      </c>
      <c r="D262" s="854" t="s">
        <v>2240</v>
      </c>
      <c r="E262" s="854" t="s">
        <v>2296</v>
      </c>
      <c r="F262" s="856">
        <v>17.149999999999999</v>
      </c>
    </row>
    <row r="263" spans="1:6" ht="14.6" x14ac:dyDescent="0.4">
      <c r="A263" s="854" t="s">
        <v>576</v>
      </c>
      <c r="B263" s="855">
        <v>43697</v>
      </c>
      <c r="C263" s="854" t="s">
        <v>2192</v>
      </c>
      <c r="D263" s="854" t="s">
        <v>2227</v>
      </c>
      <c r="E263" s="854" t="s">
        <v>1272</v>
      </c>
      <c r="F263" s="856">
        <v>33.96</v>
      </c>
    </row>
    <row r="264" spans="1:6" ht="14.6" x14ac:dyDescent="0.4">
      <c r="A264" s="854" t="s">
        <v>575</v>
      </c>
      <c r="B264" s="855">
        <v>43697</v>
      </c>
      <c r="C264" s="854" t="s">
        <v>2517</v>
      </c>
      <c r="D264" s="854" t="s">
        <v>740</v>
      </c>
      <c r="E264" s="854" t="s">
        <v>2573</v>
      </c>
      <c r="F264" s="856">
        <v>7.72</v>
      </c>
    </row>
    <row r="265" spans="1:6" ht="14.6" x14ac:dyDescent="0.4">
      <c r="A265" s="854" t="s">
        <v>576</v>
      </c>
      <c r="B265" s="855">
        <v>43698</v>
      </c>
      <c r="C265" s="854" t="s">
        <v>2203</v>
      </c>
      <c r="D265" s="854" t="s">
        <v>1747</v>
      </c>
      <c r="E265" s="854" t="s">
        <v>2297</v>
      </c>
      <c r="F265" s="856">
        <v>45</v>
      </c>
    </row>
    <row r="266" spans="1:6" ht="14.6" x14ac:dyDescent="0.4">
      <c r="A266" s="854" t="s">
        <v>576</v>
      </c>
      <c r="B266" s="855">
        <v>43698</v>
      </c>
      <c r="C266" s="854" t="s">
        <v>2204</v>
      </c>
      <c r="D266" s="854" t="s">
        <v>739</v>
      </c>
      <c r="E266" s="854" t="s">
        <v>2298</v>
      </c>
      <c r="F266" s="856">
        <v>40</v>
      </c>
    </row>
    <row r="267" spans="1:6" ht="14.6" x14ac:dyDescent="0.4">
      <c r="A267" s="854" t="s">
        <v>576</v>
      </c>
      <c r="B267" s="855">
        <v>43698</v>
      </c>
      <c r="C267" s="854" t="s">
        <v>1584</v>
      </c>
      <c r="D267" s="854" t="s">
        <v>1247</v>
      </c>
      <c r="E267" s="854" t="s">
        <v>2299</v>
      </c>
      <c r="F267" s="856">
        <v>111.2</v>
      </c>
    </row>
    <row r="268" spans="1:6" ht="14.6" x14ac:dyDescent="0.4">
      <c r="A268" s="854" t="s">
        <v>576</v>
      </c>
      <c r="B268" s="855">
        <v>43698</v>
      </c>
      <c r="C268" s="854" t="s">
        <v>1584</v>
      </c>
      <c r="D268" s="854" t="s">
        <v>1247</v>
      </c>
      <c r="E268" s="854" t="s">
        <v>2300</v>
      </c>
      <c r="F268" s="856">
        <v>81.08</v>
      </c>
    </row>
    <row r="269" spans="1:6" ht="14.6" x14ac:dyDescent="0.4">
      <c r="A269" s="854" t="s">
        <v>576</v>
      </c>
      <c r="B269" s="855">
        <v>43698</v>
      </c>
      <c r="C269" s="854" t="s">
        <v>2192</v>
      </c>
      <c r="D269" s="854" t="s">
        <v>1243</v>
      </c>
      <c r="E269" s="854" t="s">
        <v>2301</v>
      </c>
      <c r="F269" s="856">
        <v>17.97</v>
      </c>
    </row>
    <row r="270" spans="1:6" ht="14.6" x14ac:dyDescent="0.4">
      <c r="A270" s="854" t="s">
        <v>576</v>
      </c>
      <c r="B270" s="855">
        <v>43699</v>
      </c>
      <c r="C270" s="854" t="s">
        <v>2192</v>
      </c>
      <c r="D270" s="854" t="s">
        <v>747</v>
      </c>
      <c r="E270" s="854" t="s">
        <v>2302</v>
      </c>
      <c r="F270" s="856">
        <v>127.6</v>
      </c>
    </row>
    <row r="271" spans="1:6" ht="14.6" x14ac:dyDescent="0.4">
      <c r="A271" s="854" t="s">
        <v>576</v>
      </c>
      <c r="B271" s="855">
        <v>43699</v>
      </c>
      <c r="C271" s="854" t="s">
        <v>2192</v>
      </c>
      <c r="D271" s="854" t="s">
        <v>2241</v>
      </c>
      <c r="E271" s="854" t="s">
        <v>2303</v>
      </c>
      <c r="F271" s="856">
        <v>137.21</v>
      </c>
    </row>
    <row r="272" spans="1:6" ht="14.6" x14ac:dyDescent="0.4">
      <c r="A272" s="854" t="s">
        <v>575</v>
      </c>
      <c r="B272" s="855">
        <v>43699</v>
      </c>
      <c r="C272" s="854" t="s">
        <v>2518</v>
      </c>
      <c r="D272" s="854" t="s">
        <v>1590</v>
      </c>
      <c r="E272" s="854" t="s">
        <v>2574</v>
      </c>
      <c r="F272" s="856">
        <v>100</v>
      </c>
    </row>
    <row r="273" spans="1:6" ht="14.6" x14ac:dyDescent="0.4">
      <c r="A273" s="854" t="s">
        <v>575</v>
      </c>
      <c r="B273" s="855">
        <v>43699</v>
      </c>
      <c r="C273" s="854" t="s">
        <v>2519</v>
      </c>
      <c r="D273" s="854" t="s">
        <v>758</v>
      </c>
      <c r="E273" s="854" t="s">
        <v>2575</v>
      </c>
      <c r="F273" s="856">
        <v>115</v>
      </c>
    </row>
    <row r="274" spans="1:6" ht="14.6" x14ac:dyDescent="0.4">
      <c r="A274" s="854" t="s">
        <v>575</v>
      </c>
      <c r="B274" s="855">
        <v>43699</v>
      </c>
      <c r="C274" s="854" t="s">
        <v>2520</v>
      </c>
      <c r="D274" s="854" t="s">
        <v>2558</v>
      </c>
      <c r="E274" s="854" t="s">
        <v>2576</v>
      </c>
      <c r="F274" s="856">
        <v>7.35</v>
      </c>
    </row>
    <row r="275" spans="1:6" ht="14.6" x14ac:dyDescent="0.4">
      <c r="A275" s="854" t="s">
        <v>1921</v>
      </c>
      <c r="B275" s="855">
        <v>43699</v>
      </c>
      <c r="C275" s="854" t="s">
        <v>2521</v>
      </c>
      <c r="D275" s="854" t="s">
        <v>1245</v>
      </c>
      <c r="E275" s="854" t="s">
        <v>2577</v>
      </c>
      <c r="F275" s="856">
        <v>-22.73</v>
      </c>
    </row>
    <row r="276" spans="1:6" ht="14.6" x14ac:dyDescent="0.4">
      <c r="A276" s="854" t="s">
        <v>575</v>
      </c>
      <c r="B276" s="855">
        <v>43703</v>
      </c>
      <c r="C276" s="854" t="s">
        <v>2522</v>
      </c>
      <c r="D276" s="854" t="s">
        <v>741</v>
      </c>
      <c r="E276" s="854" t="s">
        <v>2578</v>
      </c>
      <c r="F276" s="856">
        <v>185.96</v>
      </c>
    </row>
    <row r="277" spans="1:6" ht="14.6" x14ac:dyDescent="0.4">
      <c r="A277" s="854" t="s">
        <v>576</v>
      </c>
      <c r="B277" s="855">
        <v>43704</v>
      </c>
      <c r="C277" s="854" t="s">
        <v>2192</v>
      </c>
      <c r="D277" s="854" t="s">
        <v>1254</v>
      </c>
      <c r="E277" s="854" t="s">
        <v>2304</v>
      </c>
      <c r="F277" s="856">
        <v>625.44000000000005</v>
      </c>
    </row>
    <row r="278" spans="1:6" ht="14.6" x14ac:dyDescent="0.4">
      <c r="A278" s="854" t="s">
        <v>576</v>
      </c>
      <c r="B278" s="855">
        <v>43705</v>
      </c>
      <c r="C278" s="854" t="s">
        <v>2205</v>
      </c>
      <c r="D278" s="854" t="s">
        <v>739</v>
      </c>
      <c r="E278" s="854" t="s">
        <v>2305</v>
      </c>
      <c r="F278" s="856">
        <v>350</v>
      </c>
    </row>
    <row r="279" spans="1:6" ht="14.6" x14ac:dyDescent="0.4">
      <c r="A279" s="854" t="s">
        <v>576</v>
      </c>
      <c r="B279" s="855">
        <v>43706</v>
      </c>
      <c r="C279" s="854" t="s">
        <v>2192</v>
      </c>
      <c r="D279" s="854" t="s">
        <v>2242</v>
      </c>
      <c r="E279" s="854" t="s">
        <v>2306</v>
      </c>
      <c r="F279" s="856">
        <v>519.61</v>
      </c>
    </row>
    <row r="280" spans="1:6" ht="14.6" x14ac:dyDescent="0.4">
      <c r="A280" s="854" t="s">
        <v>576</v>
      </c>
      <c r="B280" s="855">
        <v>43706</v>
      </c>
      <c r="C280" s="854" t="s">
        <v>2206</v>
      </c>
      <c r="D280" s="854" t="s">
        <v>738</v>
      </c>
      <c r="E280" s="854" t="s">
        <v>2307</v>
      </c>
      <c r="F280" s="856">
        <v>210</v>
      </c>
    </row>
    <row r="281" spans="1:6" ht="14.6" x14ac:dyDescent="0.4">
      <c r="A281" s="854" t="s">
        <v>576</v>
      </c>
      <c r="B281" s="855">
        <v>43706</v>
      </c>
      <c r="C281" s="854" t="s">
        <v>2192</v>
      </c>
      <c r="D281" s="854" t="s">
        <v>2243</v>
      </c>
      <c r="E281" s="854" t="s">
        <v>2308</v>
      </c>
      <c r="F281" s="856">
        <v>661.29</v>
      </c>
    </row>
    <row r="282" spans="1:6" ht="14.6" x14ac:dyDescent="0.4">
      <c r="A282" s="854" t="s">
        <v>575</v>
      </c>
      <c r="B282" s="855">
        <v>43706</v>
      </c>
      <c r="C282" s="854" t="s">
        <v>2523</v>
      </c>
      <c r="D282" s="854" t="s">
        <v>1590</v>
      </c>
      <c r="E282" s="854" t="s">
        <v>2579</v>
      </c>
      <c r="F282" s="856">
        <v>100</v>
      </c>
    </row>
    <row r="283" spans="1:6" ht="14.6" x14ac:dyDescent="0.4">
      <c r="A283" s="854" t="s">
        <v>575</v>
      </c>
      <c r="B283" s="855">
        <v>43706</v>
      </c>
      <c r="C283" s="854" t="s">
        <v>2524</v>
      </c>
      <c r="D283" s="854" t="s">
        <v>1245</v>
      </c>
      <c r="E283" s="854" t="s">
        <v>2580</v>
      </c>
      <c r="F283" s="856">
        <v>313.5</v>
      </c>
    </row>
    <row r="284" spans="1:6" ht="14.6" x14ac:dyDescent="0.4">
      <c r="A284" s="854" t="s">
        <v>576</v>
      </c>
      <c r="B284" s="855">
        <v>43712</v>
      </c>
      <c r="C284" s="854" t="s">
        <v>2207</v>
      </c>
      <c r="D284" s="854" t="s">
        <v>1747</v>
      </c>
      <c r="E284" s="854" t="s">
        <v>2309</v>
      </c>
      <c r="F284" s="856">
        <v>45</v>
      </c>
    </row>
    <row r="285" spans="1:6" ht="14.6" x14ac:dyDescent="0.4">
      <c r="A285" s="854" t="s">
        <v>576</v>
      </c>
      <c r="B285" s="855">
        <v>43712</v>
      </c>
      <c r="C285" s="854" t="s">
        <v>2208</v>
      </c>
      <c r="D285" s="854" t="s">
        <v>1747</v>
      </c>
      <c r="E285" s="854" t="s">
        <v>2310</v>
      </c>
      <c r="F285" s="856">
        <v>45</v>
      </c>
    </row>
    <row r="286" spans="1:6" ht="14.6" x14ac:dyDescent="0.4">
      <c r="A286" s="854" t="s">
        <v>576</v>
      </c>
      <c r="B286" s="855">
        <v>43712</v>
      </c>
      <c r="C286" s="854" t="s">
        <v>2209</v>
      </c>
      <c r="D286" s="854" t="s">
        <v>1747</v>
      </c>
      <c r="E286" s="854" t="s">
        <v>2311</v>
      </c>
      <c r="F286" s="856">
        <v>45</v>
      </c>
    </row>
    <row r="287" spans="1:6" ht="14.6" x14ac:dyDescent="0.4">
      <c r="A287" s="854" t="s">
        <v>576</v>
      </c>
      <c r="B287" s="855">
        <v>43713</v>
      </c>
      <c r="C287" s="854" t="s">
        <v>2192</v>
      </c>
      <c r="D287" s="854" t="s">
        <v>2559</v>
      </c>
      <c r="E287" s="854" t="s">
        <v>2581</v>
      </c>
      <c r="F287" s="856">
        <v>607.05999999999995</v>
      </c>
    </row>
    <row r="288" spans="1:6" ht="14.6" x14ac:dyDescent="0.4">
      <c r="A288" s="854" t="s">
        <v>576</v>
      </c>
      <c r="B288" s="855">
        <v>43714</v>
      </c>
      <c r="C288" s="854" t="s">
        <v>2210</v>
      </c>
      <c r="D288" s="854" t="s">
        <v>758</v>
      </c>
      <c r="E288" s="854" t="s">
        <v>2312</v>
      </c>
      <c r="F288" s="856">
        <v>90</v>
      </c>
    </row>
    <row r="289" spans="1:6" ht="14.6" x14ac:dyDescent="0.4">
      <c r="A289" s="854" t="s">
        <v>576</v>
      </c>
      <c r="B289" s="855">
        <v>43714</v>
      </c>
      <c r="C289" s="854" t="s">
        <v>2211</v>
      </c>
      <c r="D289" s="854" t="s">
        <v>758</v>
      </c>
      <c r="E289" s="854" t="s">
        <v>2313</v>
      </c>
      <c r="F289" s="856">
        <v>90</v>
      </c>
    </row>
    <row r="290" spans="1:6" ht="14.6" x14ac:dyDescent="0.4">
      <c r="A290" s="854" t="s">
        <v>576</v>
      </c>
      <c r="B290" s="855">
        <v>43714</v>
      </c>
      <c r="C290" s="854" t="s">
        <v>2212</v>
      </c>
      <c r="D290" s="854" t="s">
        <v>758</v>
      </c>
      <c r="E290" s="854" t="s">
        <v>2314</v>
      </c>
      <c r="F290" s="856">
        <v>90</v>
      </c>
    </row>
    <row r="291" spans="1:6" ht="14.6" x14ac:dyDescent="0.4">
      <c r="A291" s="854" t="s">
        <v>576</v>
      </c>
      <c r="B291" s="855">
        <v>43714</v>
      </c>
      <c r="C291" s="854" t="s">
        <v>2213</v>
      </c>
      <c r="D291" s="854" t="s">
        <v>758</v>
      </c>
      <c r="E291" s="854" t="s">
        <v>2315</v>
      </c>
      <c r="F291" s="856">
        <v>90</v>
      </c>
    </row>
    <row r="292" spans="1:6" ht="14.6" x14ac:dyDescent="0.4">
      <c r="A292" s="854" t="s">
        <v>576</v>
      </c>
      <c r="B292" s="855">
        <v>43714</v>
      </c>
      <c r="C292" s="854" t="s">
        <v>2214</v>
      </c>
      <c r="D292" s="854" t="s">
        <v>758</v>
      </c>
      <c r="E292" s="854" t="s">
        <v>2316</v>
      </c>
      <c r="F292" s="856">
        <v>90</v>
      </c>
    </row>
    <row r="293" spans="1:6" ht="14.6" x14ac:dyDescent="0.4">
      <c r="A293" s="854" t="s">
        <v>576</v>
      </c>
      <c r="B293" s="855">
        <v>43714</v>
      </c>
      <c r="C293" s="854" t="s">
        <v>2215</v>
      </c>
      <c r="D293" s="854" t="s">
        <v>758</v>
      </c>
      <c r="E293" s="854" t="s">
        <v>2317</v>
      </c>
      <c r="F293" s="856">
        <v>90</v>
      </c>
    </row>
    <row r="294" spans="1:6" ht="14.6" x14ac:dyDescent="0.4">
      <c r="A294" s="854" t="s">
        <v>576</v>
      </c>
      <c r="B294" s="855">
        <v>43714</v>
      </c>
      <c r="C294" s="854" t="s">
        <v>2216</v>
      </c>
      <c r="D294" s="854" t="s">
        <v>758</v>
      </c>
      <c r="E294" s="854" t="s">
        <v>2318</v>
      </c>
      <c r="F294" s="856">
        <v>90</v>
      </c>
    </row>
    <row r="295" spans="1:6" ht="14.6" x14ac:dyDescent="0.4">
      <c r="A295" s="854" t="s">
        <v>576</v>
      </c>
      <c r="B295" s="855">
        <v>43714</v>
      </c>
      <c r="C295" s="854" t="s">
        <v>2217</v>
      </c>
      <c r="D295" s="854" t="s">
        <v>758</v>
      </c>
      <c r="E295" s="854" t="s">
        <v>2319</v>
      </c>
      <c r="F295" s="856">
        <v>90</v>
      </c>
    </row>
    <row r="296" spans="1:6" ht="14.6" x14ac:dyDescent="0.4">
      <c r="A296" s="854" t="s">
        <v>576</v>
      </c>
      <c r="B296" s="855">
        <v>43714</v>
      </c>
      <c r="C296" s="854" t="s">
        <v>2218</v>
      </c>
      <c r="D296" s="854" t="s">
        <v>758</v>
      </c>
      <c r="E296" s="854" t="s">
        <v>2320</v>
      </c>
      <c r="F296" s="856">
        <v>90</v>
      </c>
    </row>
    <row r="297" spans="1:6" ht="14.6" x14ac:dyDescent="0.4">
      <c r="A297" s="854" t="s">
        <v>576</v>
      </c>
      <c r="B297" s="855">
        <v>43714</v>
      </c>
      <c r="C297" s="854" t="s">
        <v>2219</v>
      </c>
      <c r="D297" s="854" t="s">
        <v>758</v>
      </c>
      <c r="E297" s="854" t="s">
        <v>2321</v>
      </c>
      <c r="F297" s="856">
        <v>90</v>
      </c>
    </row>
    <row r="298" spans="1:6" ht="14.6" x14ac:dyDescent="0.4">
      <c r="A298" s="854" t="s">
        <v>576</v>
      </c>
      <c r="B298" s="855">
        <v>43714</v>
      </c>
      <c r="C298" s="854" t="s">
        <v>2220</v>
      </c>
      <c r="D298" s="854" t="s">
        <v>758</v>
      </c>
      <c r="E298" s="854" t="s">
        <v>2322</v>
      </c>
      <c r="F298" s="856">
        <v>90</v>
      </c>
    </row>
    <row r="299" spans="1:6" ht="14.6" x14ac:dyDescent="0.4">
      <c r="A299" s="854" t="s">
        <v>576</v>
      </c>
      <c r="B299" s="855">
        <v>43714</v>
      </c>
      <c r="C299" s="854" t="s">
        <v>2220</v>
      </c>
      <c r="D299" s="854" t="s">
        <v>758</v>
      </c>
      <c r="E299" s="854" t="s">
        <v>2323</v>
      </c>
      <c r="F299" s="856">
        <v>90</v>
      </c>
    </row>
    <row r="300" spans="1:6" ht="14.6" x14ac:dyDescent="0.4">
      <c r="A300" s="854" t="s">
        <v>576</v>
      </c>
      <c r="B300" s="855">
        <v>43715</v>
      </c>
      <c r="C300" s="854" t="s">
        <v>2221</v>
      </c>
      <c r="D300" s="854" t="s">
        <v>1747</v>
      </c>
      <c r="E300" s="854" t="s">
        <v>2324</v>
      </c>
      <c r="F300" s="856">
        <v>100</v>
      </c>
    </row>
    <row r="301" spans="1:6" ht="14.6" x14ac:dyDescent="0.4">
      <c r="A301" s="854" t="s">
        <v>575</v>
      </c>
      <c r="B301" s="855">
        <v>43716</v>
      </c>
      <c r="C301" s="854" t="s">
        <v>2525</v>
      </c>
      <c r="D301" s="854" t="s">
        <v>2560</v>
      </c>
      <c r="E301" s="854" t="s">
        <v>2582</v>
      </c>
      <c r="F301" s="856">
        <v>46</v>
      </c>
    </row>
    <row r="302" spans="1:6" ht="14.6" x14ac:dyDescent="0.4">
      <c r="A302" s="854" t="s">
        <v>575</v>
      </c>
      <c r="B302" s="855">
        <v>43716</v>
      </c>
      <c r="C302" s="854" t="s">
        <v>2526</v>
      </c>
      <c r="D302" s="854" t="s">
        <v>2561</v>
      </c>
      <c r="E302" s="854" t="s">
        <v>2583</v>
      </c>
      <c r="F302" s="856">
        <v>37.85</v>
      </c>
    </row>
    <row r="303" spans="1:6" ht="14.6" x14ac:dyDescent="0.4">
      <c r="A303" s="854" t="s">
        <v>575</v>
      </c>
      <c r="B303" s="855">
        <v>43716</v>
      </c>
      <c r="C303" s="854" t="s">
        <v>2527</v>
      </c>
      <c r="D303" s="854" t="s">
        <v>2562</v>
      </c>
      <c r="E303" s="854" t="s">
        <v>2584</v>
      </c>
      <c r="F303" s="856">
        <v>12.39</v>
      </c>
    </row>
    <row r="304" spans="1:6" ht="14.6" x14ac:dyDescent="0.4">
      <c r="A304" s="854" t="s">
        <v>575</v>
      </c>
      <c r="B304" s="855">
        <v>43718</v>
      </c>
      <c r="C304" s="854" t="s">
        <v>2528</v>
      </c>
      <c r="D304" s="854" t="s">
        <v>739</v>
      </c>
      <c r="E304" s="854" t="s">
        <v>2585</v>
      </c>
      <c r="F304" s="856">
        <v>50</v>
      </c>
    </row>
    <row r="305" spans="1:6" ht="14.6" x14ac:dyDescent="0.4">
      <c r="A305" s="854" t="s">
        <v>575</v>
      </c>
      <c r="B305" s="855">
        <v>43719</v>
      </c>
      <c r="C305" s="854" t="s">
        <v>2529</v>
      </c>
      <c r="D305" s="854" t="s">
        <v>2563</v>
      </c>
      <c r="E305" s="854" t="s">
        <v>2586</v>
      </c>
      <c r="F305" s="856">
        <v>916.75</v>
      </c>
    </row>
    <row r="306" spans="1:6" ht="14.6" x14ac:dyDescent="0.4">
      <c r="A306" s="854" t="s">
        <v>575</v>
      </c>
      <c r="B306" s="855">
        <v>43719</v>
      </c>
      <c r="C306" s="854" t="s">
        <v>2530</v>
      </c>
      <c r="D306" s="854" t="s">
        <v>2563</v>
      </c>
      <c r="E306" s="854" t="s">
        <v>2587</v>
      </c>
      <c r="F306" s="856">
        <v>5.69</v>
      </c>
    </row>
    <row r="307" spans="1:6" ht="14.6" x14ac:dyDescent="0.4">
      <c r="A307" s="854" t="s">
        <v>575</v>
      </c>
      <c r="B307" s="855">
        <v>43719</v>
      </c>
      <c r="C307" s="854" t="s">
        <v>2531</v>
      </c>
      <c r="D307" s="854" t="s">
        <v>2564</v>
      </c>
      <c r="E307" s="854" t="s">
        <v>2582</v>
      </c>
      <c r="F307" s="856">
        <v>28.28</v>
      </c>
    </row>
    <row r="308" spans="1:6" ht="14.6" x14ac:dyDescent="0.4">
      <c r="A308" s="854" t="s">
        <v>575</v>
      </c>
      <c r="B308" s="855">
        <v>43719</v>
      </c>
      <c r="C308" s="854" t="s">
        <v>2529</v>
      </c>
      <c r="D308" s="854" t="s">
        <v>2563</v>
      </c>
      <c r="E308" s="854" t="s">
        <v>2588</v>
      </c>
      <c r="F308" s="856">
        <v>18.34</v>
      </c>
    </row>
    <row r="309" spans="1:6" ht="14.6" x14ac:dyDescent="0.4">
      <c r="A309" s="854" t="s">
        <v>575</v>
      </c>
      <c r="B309" s="855">
        <v>43719</v>
      </c>
      <c r="C309" s="854" t="s">
        <v>2530</v>
      </c>
      <c r="D309" s="854" t="s">
        <v>2563</v>
      </c>
      <c r="E309" s="854" t="s">
        <v>2588</v>
      </c>
      <c r="F309" s="856">
        <v>0.11</v>
      </c>
    </row>
    <row r="310" spans="1:6" ht="14.6" x14ac:dyDescent="0.4">
      <c r="A310" s="854" t="s">
        <v>576</v>
      </c>
      <c r="B310" s="855">
        <v>43720</v>
      </c>
      <c r="C310" s="854" t="s">
        <v>2222</v>
      </c>
      <c r="D310" s="854" t="s">
        <v>739</v>
      </c>
      <c r="E310" s="854" t="s">
        <v>2325</v>
      </c>
      <c r="F310" s="856">
        <v>225</v>
      </c>
    </row>
    <row r="311" spans="1:6" ht="14.6" x14ac:dyDescent="0.4">
      <c r="A311" s="854" t="s">
        <v>576</v>
      </c>
      <c r="B311" s="855">
        <v>43720</v>
      </c>
      <c r="C311" s="854" t="s">
        <v>2222</v>
      </c>
      <c r="D311" s="854" t="s">
        <v>739</v>
      </c>
      <c r="E311" s="854" t="s">
        <v>2326</v>
      </c>
      <c r="F311" s="856">
        <v>225</v>
      </c>
    </row>
    <row r="312" spans="1:6" ht="14.6" x14ac:dyDescent="0.4">
      <c r="A312" s="854" t="s">
        <v>576</v>
      </c>
      <c r="B312" s="855">
        <v>43720</v>
      </c>
      <c r="C312" s="854" t="s">
        <v>2222</v>
      </c>
      <c r="D312" s="854" t="s">
        <v>739</v>
      </c>
      <c r="E312" s="854" t="s">
        <v>2327</v>
      </c>
      <c r="F312" s="856">
        <v>125</v>
      </c>
    </row>
    <row r="313" spans="1:6" ht="14.6" x14ac:dyDescent="0.4">
      <c r="A313" s="854" t="s">
        <v>576</v>
      </c>
      <c r="B313" s="855">
        <v>43720</v>
      </c>
      <c r="C313" s="854" t="s">
        <v>2222</v>
      </c>
      <c r="D313" s="854" t="s">
        <v>739</v>
      </c>
      <c r="E313" s="854" t="s">
        <v>2328</v>
      </c>
      <c r="F313" s="856">
        <v>125</v>
      </c>
    </row>
    <row r="314" spans="1:6" ht="14.6" x14ac:dyDescent="0.4">
      <c r="A314" s="854" t="s">
        <v>575</v>
      </c>
      <c r="B314" s="855">
        <v>43720</v>
      </c>
      <c r="C314" s="854" t="s">
        <v>2532</v>
      </c>
      <c r="D314" s="854" t="s">
        <v>2560</v>
      </c>
      <c r="E314" s="854" t="s">
        <v>2589</v>
      </c>
      <c r="F314" s="856">
        <v>30</v>
      </c>
    </row>
    <row r="315" spans="1:6" ht="14.6" x14ac:dyDescent="0.4">
      <c r="A315" s="854" t="s">
        <v>575</v>
      </c>
      <c r="B315" s="855">
        <v>43720</v>
      </c>
      <c r="C315" s="854" t="s">
        <v>2533</v>
      </c>
      <c r="D315" s="854" t="s">
        <v>743</v>
      </c>
      <c r="E315" s="854" t="s">
        <v>2590</v>
      </c>
      <c r="F315" s="856">
        <v>40</v>
      </c>
    </row>
    <row r="316" spans="1:6" ht="14.6" x14ac:dyDescent="0.4">
      <c r="A316" s="854" t="s">
        <v>575</v>
      </c>
      <c r="B316" s="855">
        <v>43720</v>
      </c>
      <c r="C316" s="854" t="s">
        <v>2534</v>
      </c>
      <c r="D316" s="854" t="s">
        <v>1951</v>
      </c>
      <c r="E316" s="854" t="s">
        <v>2591</v>
      </c>
      <c r="F316" s="856">
        <v>23.33</v>
      </c>
    </row>
    <row r="317" spans="1:6" ht="14.6" x14ac:dyDescent="0.4">
      <c r="A317" s="854" t="s">
        <v>576</v>
      </c>
      <c r="B317" s="855">
        <v>43724</v>
      </c>
      <c r="C317" s="854" t="s">
        <v>2179</v>
      </c>
      <c r="D317" s="854" t="s">
        <v>747</v>
      </c>
      <c r="E317" s="854" t="s">
        <v>2329</v>
      </c>
      <c r="F317" s="856">
        <v>42.85</v>
      </c>
    </row>
    <row r="318" spans="1:6" ht="14.6" x14ac:dyDescent="0.4">
      <c r="A318" s="854" t="s">
        <v>576</v>
      </c>
      <c r="B318" s="855">
        <v>43725</v>
      </c>
      <c r="C318" s="854" t="s">
        <v>2223</v>
      </c>
      <c r="D318" s="854" t="s">
        <v>1747</v>
      </c>
      <c r="E318" s="854" t="s">
        <v>2330</v>
      </c>
      <c r="F318" s="856">
        <v>45</v>
      </c>
    </row>
    <row r="319" spans="1:6" ht="14.6" x14ac:dyDescent="0.4">
      <c r="A319" s="854" t="s">
        <v>576</v>
      </c>
      <c r="B319" s="855">
        <v>43725</v>
      </c>
      <c r="C319" s="854" t="s">
        <v>2224</v>
      </c>
      <c r="D319" s="854" t="s">
        <v>1747</v>
      </c>
      <c r="E319" s="854" t="s">
        <v>2331</v>
      </c>
      <c r="F319" s="856">
        <v>100</v>
      </c>
    </row>
    <row r="320" spans="1:6" ht="14.6" x14ac:dyDescent="0.4">
      <c r="A320" s="854" t="s">
        <v>576</v>
      </c>
      <c r="B320" s="855">
        <v>43725</v>
      </c>
      <c r="C320" s="854" t="s">
        <v>2225</v>
      </c>
      <c r="D320" s="854" t="s">
        <v>1747</v>
      </c>
      <c r="E320" s="854" t="s">
        <v>2332</v>
      </c>
      <c r="F320" s="856">
        <v>45</v>
      </c>
    </row>
    <row r="321" spans="1:6" ht="14.6" x14ac:dyDescent="0.4">
      <c r="A321" s="854" t="s">
        <v>576</v>
      </c>
      <c r="B321" s="855">
        <v>43726</v>
      </c>
      <c r="C321" s="854" t="s">
        <v>2226</v>
      </c>
      <c r="D321" s="854" t="s">
        <v>739</v>
      </c>
      <c r="E321" s="854" t="s">
        <v>2333</v>
      </c>
      <c r="F321" s="856">
        <v>225</v>
      </c>
    </row>
    <row r="322" spans="1:6" ht="14.6" x14ac:dyDescent="0.4">
      <c r="A322" s="854" t="s">
        <v>576</v>
      </c>
      <c r="B322" s="855">
        <v>43726</v>
      </c>
      <c r="C322" s="854" t="s">
        <v>2226</v>
      </c>
      <c r="D322" s="854" t="s">
        <v>739</v>
      </c>
      <c r="E322" s="854" t="s">
        <v>2334</v>
      </c>
      <c r="F322" s="856">
        <v>225</v>
      </c>
    </row>
    <row r="323" spans="1:6" ht="14.6" x14ac:dyDescent="0.4">
      <c r="A323" s="854" t="s">
        <v>576</v>
      </c>
      <c r="B323" s="855">
        <v>43726</v>
      </c>
      <c r="C323" s="854" t="s">
        <v>2179</v>
      </c>
      <c r="D323" s="854" t="s">
        <v>2241</v>
      </c>
      <c r="E323" s="854" t="s">
        <v>2335</v>
      </c>
      <c r="F323" s="856">
        <v>1013.87</v>
      </c>
    </row>
    <row r="324" spans="1:6" ht="14.6" x14ac:dyDescent="0.4">
      <c r="A324" s="854" t="s">
        <v>575</v>
      </c>
      <c r="B324" s="855">
        <v>43731</v>
      </c>
      <c r="C324" s="854" t="s">
        <v>2535</v>
      </c>
      <c r="D324" s="854" t="s">
        <v>741</v>
      </c>
      <c r="E324" s="854" t="s">
        <v>2592</v>
      </c>
      <c r="F324" s="856">
        <v>270.95999999999998</v>
      </c>
    </row>
    <row r="325" spans="1:6" ht="14.6" x14ac:dyDescent="0.4">
      <c r="A325" s="854" t="s">
        <v>575</v>
      </c>
      <c r="B325" s="855">
        <v>43731</v>
      </c>
      <c r="C325" s="854" t="s">
        <v>2536</v>
      </c>
      <c r="D325" s="854" t="s">
        <v>741</v>
      </c>
      <c r="E325" s="854" t="s">
        <v>2593</v>
      </c>
      <c r="F325" s="856">
        <v>270.95999999999998</v>
      </c>
    </row>
    <row r="326" spans="1:6" ht="14.6" x14ac:dyDescent="0.4">
      <c r="A326" s="854" t="s">
        <v>575</v>
      </c>
      <c r="B326" s="855">
        <v>43732</v>
      </c>
      <c r="C326" s="854" t="s">
        <v>2537</v>
      </c>
      <c r="D326" s="854" t="s">
        <v>1252</v>
      </c>
      <c r="E326" s="854" t="s">
        <v>2594</v>
      </c>
      <c r="F326" s="856">
        <v>165.48</v>
      </c>
    </row>
    <row r="327" spans="1:6" ht="14.6" x14ac:dyDescent="0.4">
      <c r="A327" s="854" t="s">
        <v>575</v>
      </c>
      <c r="B327" s="855">
        <v>43732</v>
      </c>
      <c r="C327" s="854" t="s">
        <v>2538</v>
      </c>
      <c r="D327" s="854" t="s">
        <v>739</v>
      </c>
      <c r="E327" s="854" t="s">
        <v>2595</v>
      </c>
      <c r="F327" s="856">
        <v>50</v>
      </c>
    </row>
    <row r="328" spans="1:6" ht="14.6" x14ac:dyDescent="0.4">
      <c r="A328" s="854" t="s">
        <v>576</v>
      </c>
      <c r="B328" s="855">
        <v>43738</v>
      </c>
      <c r="C328" s="854" t="s">
        <v>2539</v>
      </c>
      <c r="D328" s="854" t="s">
        <v>2565</v>
      </c>
      <c r="E328" s="854" t="s">
        <v>2596</v>
      </c>
      <c r="F328" s="856">
        <v>50</v>
      </c>
    </row>
    <row r="329" spans="1:6" ht="14.6" x14ac:dyDescent="0.4">
      <c r="A329" s="854" t="s">
        <v>576</v>
      </c>
      <c r="B329" s="855">
        <v>43739</v>
      </c>
      <c r="C329" s="854" t="s">
        <v>2540</v>
      </c>
      <c r="D329" s="854" t="s">
        <v>739</v>
      </c>
      <c r="E329" s="854" t="s">
        <v>2597</v>
      </c>
      <c r="F329" s="856">
        <v>200</v>
      </c>
    </row>
    <row r="330" spans="1:6" ht="14.6" x14ac:dyDescent="0.4">
      <c r="A330" s="854" t="s">
        <v>576</v>
      </c>
      <c r="B330" s="855">
        <v>43739</v>
      </c>
      <c r="C330" s="854" t="s">
        <v>2540</v>
      </c>
      <c r="D330" s="854" t="s">
        <v>739</v>
      </c>
      <c r="E330" s="854" t="s">
        <v>2598</v>
      </c>
      <c r="F330" s="856">
        <v>200</v>
      </c>
    </row>
    <row r="331" spans="1:6" ht="14.6" x14ac:dyDescent="0.4">
      <c r="A331" s="854" t="s">
        <v>576</v>
      </c>
      <c r="B331" s="855">
        <v>43739</v>
      </c>
      <c r="C331" s="854" t="s">
        <v>2540</v>
      </c>
      <c r="D331" s="854" t="s">
        <v>739</v>
      </c>
      <c r="E331" s="854" t="s">
        <v>2599</v>
      </c>
      <c r="F331" s="856">
        <v>490</v>
      </c>
    </row>
    <row r="332" spans="1:6" ht="14.6" x14ac:dyDescent="0.4">
      <c r="A332" s="854" t="s">
        <v>576</v>
      </c>
      <c r="B332" s="855">
        <v>43739</v>
      </c>
      <c r="C332" s="854" t="s">
        <v>2540</v>
      </c>
      <c r="D332" s="854" t="s">
        <v>739</v>
      </c>
      <c r="E332" s="854" t="s">
        <v>2600</v>
      </c>
      <c r="F332" s="856">
        <v>490</v>
      </c>
    </row>
    <row r="333" spans="1:6" ht="14.6" x14ac:dyDescent="0.4">
      <c r="A333" s="854" t="s">
        <v>576</v>
      </c>
      <c r="B333" s="855">
        <v>43739</v>
      </c>
      <c r="C333" s="854" t="s">
        <v>2541</v>
      </c>
      <c r="D333" s="854" t="s">
        <v>1747</v>
      </c>
      <c r="E333" s="854" t="s">
        <v>2601</v>
      </c>
      <c r="F333" s="856">
        <v>45</v>
      </c>
    </row>
    <row r="334" spans="1:6" ht="14.6" x14ac:dyDescent="0.4">
      <c r="A334" s="854" t="s">
        <v>576</v>
      </c>
      <c r="B334" s="855">
        <v>43739</v>
      </c>
      <c r="C334" s="854" t="s">
        <v>2542</v>
      </c>
      <c r="D334" s="854" t="s">
        <v>739</v>
      </c>
      <c r="E334" s="854" t="s">
        <v>2602</v>
      </c>
      <c r="F334" s="856">
        <v>100</v>
      </c>
    </row>
    <row r="335" spans="1:6" ht="14.6" x14ac:dyDescent="0.4">
      <c r="A335" s="854" t="s">
        <v>576</v>
      </c>
      <c r="B335" s="855">
        <v>43739</v>
      </c>
      <c r="C335" s="854" t="s">
        <v>2542</v>
      </c>
      <c r="D335" s="854" t="s">
        <v>739</v>
      </c>
      <c r="E335" s="854" t="s">
        <v>2603</v>
      </c>
      <c r="F335" s="856">
        <v>100</v>
      </c>
    </row>
    <row r="336" spans="1:6" ht="14.6" x14ac:dyDescent="0.4">
      <c r="A336" s="854" t="s">
        <v>576</v>
      </c>
      <c r="B336" s="855">
        <v>43739</v>
      </c>
      <c r="C336" s="854" t="s">
        <v>2179</v>
      </c>
      <c r="D336" s="854" t="s">
        <v>1247</v>
      </c>
      <c r="E336" s="854" t="s">
        <v>2604</v>
      </c>
      <c r="F336" s="856">
        <v>156.59</v>
      </c>
    </row>
    <row r="337" spans="1:6" ht="14.6" x14ac:dyDescent="0.4">
      <c r="A337" s="854" t="s">
        <v>575</v>
      </c>
      <c r="B337" s="855">
        <v>43739</v>
      </c>
      <c r="C337" s="854" t="s">
        <v>2543</v>
      </c>
      <c r="D337" s="854" t="s">
        <v>2566</v>
      </c>
      <c r="E337" s="854" t="s">
        <v>2605</v>
      </c>
      <c r="F337" s="856">
        <v>74.95</v>
      </c>
    </row>
    <row r="338" spans="1:6" ht="14.6" x14ac:dyDescent="0.4">
      <c r="A338" s="854" t="s">
        <v>575</v>
      </c>
      <c r="B338" s="855">
        <v>43739</v>
      </c>
      <c r="C338" s="854" t="s">
        <v>2544</v>
      </c>
      <c r="D338" s="854" t="s">
        <v>2567</v>
      </c>
      <c r="E338" s="854" t="s">
        <v>2606</v>
      </c>
      <c r="F338" s="856">
        <v>177.41</v>
      </c>
    </row>
    <row r="339" spans="1:6" ht="14.6" x14ac:dyDescent="0.4">
      <c r="A339" s="854" t="s">
        <v>575</v>
      </c>
      <c r="B339" s="855">
        <v>43739</v>
      </c>
      <c r="C339" s="854" t="s">
        <v>2545</v>
      </c>
      <c r="D339" s="854" t="s">
        <v>2567</v>
      </c>
      <c r="E339" s="854" t="s">
        <v>2607</v>
      </c>
      <c r="F339" s="856">
        <v>177.41</v>
      </c>
    </row>
    <row r="340" spans="1:6" ht="14.6" x14ac:dyDescent="0.4">
      <c r="A340" s="854" t="s">
        <v>575</v>
      </c>
      <c r="B340" s="855">
        <v>43739</v>
      </c>
      <c r="C340" s="854" t="s">
        <v>2546</v>
      </c>
      <c r="D340" s="854" t="s">
        <v>2567</v>
      </c>
      <c r="E340" s="854" t="s">
        <v>2608</v>
      </c>
      <c r="F340" s="856">
        <v>177.41</v>
      </c>
    </row>
    <row r="341" spans="1:6" ht="14.6" x14ac:dyDescent="0.4">
      <c r="A341" s="854" t="s">
        <v>575</v>
      </c>
      <c r="B341" s="855">
        <v>43740</v>
      </c>
      <c r="C341" s="854" t="s">
        <v>2547</v>
      </c>
      <c r="D341" s="854" t="s">
        <v>1248</v>
      </c>
      <c r="E341" s="854" t="s">
        <v>2605</v>
      </c>
      <c r="F341" s="856">
        <v>31.98</v>
      </c>
    </row>
    <row r="342" spans="1:6" ht="14.6" x14ac:dyDescent="0.4">
      <c r="A342" s="854" t="s">
        <v>575</v>
      </c>
      <c r="B342" s="855">
        <v>43740</v>
      </c>
      <c r="C342" s="854" t="s">
        <v>2548</v>
      </c>
      <c r="D342" s="854" t="s">
        <v>2568</v>
      </c>
      <c r="E342" s="854" t="s">
        <v>2605</v>
      </c>
      <c r="F342" s="856">
        <v>70.489999999999995</v>
      </c>
    </row>
    <row r="343" spans="1:6" ht="14.6" x14ac:dyDescent="0.4">
      <c r="A343" s="854" t="s">
        <v>576</v>
      </c>
      <c r="B343" s="855">
        <v>43742</v>
      </c>
      <c r="C343" s="854" t="s">
        <v>2222</v>
      </c>
      <c r="D343" s="854" t="s">
        <v>2569</v>
      </c>
      <c r="E343" s="854" t="s">
        <v>2609</v>
      </c>
      <c r="F343" s="856">
        <v>212.28</v>
      </c>
    </row>
    <row r="344" spans="1:6" ht="14.6" x14ac:dyDescent="0.4">
      <c r="A344" s="854" t="s">
        <v>575</v>
      </c>
      <c r="B344" s="855">
        <v>43745</v>
      </c>
      <c r="C344" s="854" t="s">
        <v>2549</v>
      </c>
      <c r="D344" s="854" t="s">
        <v>2570</v>
      </c>
      <c r="E344" s="854" t="s">
        <v>2610</v>
      </c>
      <c r="F344" s="856">
        <v>98.91</v>
      </c>
    </row>
    <row r="345" spans="1:6" ht="14.6" x14ac:dyDescent="0.4">
      <c r="A345" s="854" t="s">
        <v>575</v>
      </c>
      <c r="B345" s="855">
        <v>43745</v>
      </c>
      <c r="C345" s="854" t="s">
        <v>2549</v>
      </c>
      <c r="D345" s="854" t="s">
        <v>2570</v>
      </c>
      <c r="E345" s="854" t="s">
        <v>2611</v>
      </c>
      <c r="F345" s="856">
        <v>7.91</v>
      </c>
    </row>
    <row r="346" spans="1:6" ht="14.6" x14ac:dyDescent="0.4">
      <c r="A346" s="854" t="s">
        <v>575</v>
      </c>
      <c r="B346" s="855">
        <v>43746</v>
      </c>
      <c r="C346" s="854" t="s">
        <v>2550</v>
      </c>
      <c r="D346" s="854" t="s">
        <v>739</v>
      </c>
      <c r="E346" s="854" t="s">
        <v>2612</v>
      </c>
      <c r="F346" s="856">
        <v>50</v>
      </c>
    </row>
    <row r="347" spans="1:6" ht="14.6" x14ac:dyDescent="0.4">
      <c r="A347" s="854" t="s">
        <v>575</v>
      </c>
      <c r="B347" s="855">
        <v>43748</v>
      </c>
      <c r="C347" s="854" t="s">
        <v>2551</v>
      </c>
      <c r="D347" s="854" t="s">
        <v>758</v>
      </c>
      <c r="E347" s="854" t="s">
        <v>2613</v>
      </c>
      <c r="F347" s="856">
        <v>115</v>
      </c>
    </row>
    <row r="348" spans="1:6" ht="14.6" x14ac:dyDescent="0.4">
      <c r="A348" s="854" t="s">
        <v>576</v>
      </c>
      <c r="B348" s="855">
        <v>43749</v>
      </c>
      <c r="C348" s="854" t="s">
        <v>2552</v>
      </c>
      <c r="D348" s="854" t="s">
        <v>758</v>
      </c>
      <c r="E348" s="854" t="s">
        <v>2614</v>
      </c>
      <c r="F348" s="856">
        <v>330</v>
      </c>
    </row>
    <row r="349" spans="1:6" ht="14.6" x14ac:dyDescent="0.4">
      <c r="A349" s="854" t="s">
        <v>576</v>
      </c>
      <c r="B349" s="855">
        <v>43749</v>
      </c>
      <c r="C349" s="854" t="s">
        <v>2553</v>
      </c>
      <c r="D349" s="854" t="s">
        <v>739</v>
      </c>
      <c r="E349" s="854" t="s">
        <v>2615</v>
      </c>
      <c r="F349" s="856">
        <v>125</v>
      </c>
    </row>
    <row r="350" spans="1:6" ht="14.6" x14ac:dyDescent="0.4">
      <c r="A350" s="854" t="s">
        <v>576</v>
      </c>
      <c r="B350" s="855">
        <v>43752</v>
      </c>
      <c r="C350" s="854" t="s">
        <v>2554</v>
      </c>
      <c r="D350" s="854" t="s">
        <v>739</v>
      </c>
      <c r="E350" s="854" t="s">
        <v>2616</v>
      </c>
      <c r="F350" s="856">
        <v>400</v>
      </c>
    </row>
    <row r="351" spans="1:6" ht="14.6" x14ac:dyDescent="0.4">
      <c r="A351" s="854" t="s">
        <v>576</v>
      </c>
      <c r="B351" s="855">
        <v>43752</v>
      </c>
      <c r="C351" s="854" t="s">
        <v>2554</v>
      </c>
      <c r="D351" s="854" t="s">
        <v>739</v>
      </c>
      <c r="E351" s="854" t="s">
        <v>2617</v>
      </c>
      <c r="F351" s="856">
        <v>75</v>
      </c>
    </row>
    <row r="352" spans="1:6" ht="14.6" x14ac:dyDescent="0.4">
      <c r="A352" s="854" t="s">
        <v>576</v>
      </c>
      <c r="B352" s="855">
        <v>43752</v>
      </c>
      <c r="C352" s="854" t="s">
        <v>2554</v>
      </c>
      <c r="D352" s="854" t="s">
        <v>739</v>
      </c>
      <c r="E352" s="854" t="s">
        <v>2618</v>
      </c>
      <c r="F352" s="856">
        <v>75</v>
      </c>
    </row>
    <row r="353" spans="1:6" ht="14.6" x14ac:dyDescent="0.4">
      <c r="A353" s="854" t="s">
        <v>576</v>
      </c>
      <c r="B353" s="855">
        <v>43752</v>
      </c>
      <c r="C353" s="854" t="s">
        <v>2554</v>
      </c>
      <c r="D353" s="854" t="s">
        <v>739</v>
      </c>
      <c r="E353" s="854" t="s">
        <v>2619</v>
      </c>
      <c r="F353" s="856">
        <v>300</v>
      </c>
    </row>
    <row r="354" spans="1:6" ht="14.6" x14ac:dyDescent="0.4">
      <c r="A354" s="854" t="s">
        <v>576</v>
      </c>
      <c r="B354" s="855">
        <v>43752</v>
      </c>
      <c r="C354" s="854" t="s">
        <v>2554</v>
      </c>
      <c r="D354" s="854" t="s">
        <v>739</v>
      </c>
      <c r="E354" s="854" t="s">
        <v>2620</v>
      </c>
      <c r="F354" s="856">
        <v>225</v>
      </c>
    </row>
    <row r="355" spans="1:6" ht="14.6" x14ac:dyDescent="0.4">
      <c r="A355" s="854" t="s">
        <v>576</v>
      </c>
      <c r="B355" s="855">
        <v>43752</v>
      </c>
      <c r="C355" s="854" t="s">
        <v>2554</v>
      </c>
      <c r="D355" s="854" t="s">
        <v>739</v>
      </c>
      <c r="E355" s="854" t="s">
        <v>2621</v>
      </c>
      <c r="F355" s="856">
        <v>225</v>
      </c>
    </row>
    <row r="356" spans="1:6" ht="14.6" x14ac:dyDescent="0.4">
      <c r="A356" s="854" t="s">
        <v>576</v>
      </c>
      <c r="B356" s="855">
        <v>43752</v>
      </c>
      <c r="C356" s="854" t="s">
        <v>2554</v>
      </c>
      <c r="D356" s="854" t="s">
        <v>739</v>
      </c>
      <c r="E356" s="854" t="s">
        <v>2622</v>
      </c>
      <c r="F356" s="856">
        <v>225</v>
      </c>
    </row>
    <row r="357" spans="1:6" ht="14.6" x14ac:dyDescent="0.4">
      <c r="A357" s="854" t="s">
        <v>576</v>
      </c>
      <c r="B357" s="855">
        <v>43752</v>
      </c>
      <c r="C357" s="854" t="s">
        <v>2554</v>
      </c>
      <c r="D357" s="854" t="s">
        <v>739</v>
      </c>
      <c r="E357" s="854" t="s">
        <v>2623</v>
      </c>
      <c r="F357" s="856">
        <v>225</v>
      </c>
    </row>
    <row r="358" spans="1:6" ht="14.6" x14ac:dyDescent="0.4">
      <c r="A358" s="854" t="s">
        <v>576</v>
      </c>
      <c r="B358" s="855">
        <v>43752</v>
      </c>
      <c r="C358" s="854" t="s">
        <v>2554</v>
      </c>
      <c r="D358" s="854" t="s">
        <v>739</v>
      </c>
      <c r="E358" s="854" t="s">
        <v>2624</v>
      </c>
      <c r="F358" s="856">
        <v>150</v>
      </c>
    </row>
    <row r="359" spans="1:6" ht="14.6" x14ac:dyDescent="0.4">
      <c r="A359" s="854" t="s">
        <v>576</v>
      </c>
      <c r="B359" s="855">
        <v>43752</v>
      </c>
      <c r="C359" s="854" t="s">
        <v>2554</v>
      </c>
      <c r="D359" s="854" t="s">
        <v>739</v>
      </c>
      <c r="E359" s="854" t="s">
        <v>2625</v>
      </c>
      <c r="F359" s="856">
        <v>150</v>
      </c>
    </row>
    <row r="360" spans="1:6" ht="14.6" x14ac:dyDescent="0.4">
      <c r="A360" s="854" t="s">
        <v>576</v>
      </c>
      <c r="B360" s="855">
        <v>43752</v>
      </c>
      <c r="C360" s="854" t="s">
        <v>2554</v>
      </c>
      <c r="D360" s="854" t="s">
        <v>739</v>
      </c>
      <c r="E360" s="854" t="s">
        <v>2626</v>
      </c>
      <c r="F360" s="856">
        <v>150</v>
      </c>
    </row>
    <row r="361" spans="1:6" ht="14.6" x14ac:dyDescent="0.4">
      <c r="A361" s="854" t="s">
        <v>576</v>
      </c>
      <c r="B361" s="855">
        <v>43753</v>
      </c>
      <c r="C361" s="854" t="s">
        <v>2222</v>
      </c>
      <c r="D361" s="854" t="s">
        <v>2571</v>
      </c>
      <c r="E361" s="854" t="s">
        <v>821</v>
      </c>
      <c r="F361" s="856">
        <v>12.67</v>
      </c>
    </row>
    <row r="362" spans="1:6" ht="14.6" x14ac:dyDescent="0.4">
      <c r="A362" s="854" t="s">
        <v>576</v>
      </c>
      <c r="B362" s="855">
        <v>43753</v>
      </c>
      <c r="C362" s="854" t="s">
        <v>2222</v>
      </c>
      <c r="D362" s="854" t="s">
        <v>1250</v>
      </c>
      <c r="E362" s="854" t="s">
        <v>2627</v>
      </c>
      <c r="F362" s="856">
        <v>30</v>
      </c>
    </row>
    <row r="363" spans="1:6" ht="14.6" x14ac:dyDescent="0.4">
      <c r="A363" s="854" t="s">
        <v>575</v>
      </c>
      <c r="B363" s="855">
        <v>43753</v>
      </c>
      <c r="C363" s="854" t="s">
        <v>2831</v>
      </c>
      <c r="D363" s="854" t="s">
        <v>1748</v>
      </c>
      <c r="E363" s="854" t="s">
        <v>2864</v>
      </c>
      <c r="F363" s="856">
        <v>99</v>
      </c>
    </row>
    <row r="364" spans="1:6" ht="14.6" x14ac:dyDescent="0.4">
      <c r="A364" s="854" t="s">
        <v>576</v>
      </c>
      <c r="B364" s="855">
        <v>43756</v>
      </c>
      <c r="C364" s="854" t="s">
        <v>2555</v>
      </c>
      <c r="D364" s="854" t="s">
        <v>2572</v>
      </c>
      <c r="E364" s="854" t="s">
        <v>2628</v>
      </c>
      <c r="F364" s="856">
        <v>491.4</v>
      </c>
    </row>
    <row r="365" spans="1:6" ht="14.6" x14ac:dyDescent="0.4">
      <c r="A365" s="854" t="s">
        <v>575</v>
      </c>
      <c r="B365" s="855">
        <v>43760</v>
      </c>
      <c r="C365" s="854" t="s">
        <v>2556</v>
      </c>
      <c r="D365" s="854" t="s">
        <v>739</v>
      </c>
      <c r="E365" s="854" t="s">
        <v>2629</v>
      </c>
      <c r="F365" s="856">
        <v>50</v>
      </c>
    </row>
    <row r="366" spans="1:6" ht="14.6" x14ac:dyDescent="0.4">
      <c r="A366" s="854" t="s">
        <v>576</v>
      </c>
      <c r="B366" s="855">
        <v>43761</v>
      </c>
      <c r="C366" s="854" t="s">
        <v>2557</v>
      </c>
      <c r="D366" s="854" t="s">
        <v>1747</v>
      </c>
      <c r="E366" s="854" t="s">
        <v>2630</v>
      </c>
      <c r="F366" s="856">
        <v>45</v>
      </c>
    </row>
    <row r="367" spans="1:6" ht="14.6" x14ac:dyDescent="0.4">
      <c r="A367" s="854" t="s">
        <v>576</v>
      </c>
      <c r="B367" s="855">
        <v>43761</v>
      </c>
      <c r="C367" s="854" t="s">
        <v>2222</v>
      </c>
      <c r="D367" s="854" t="s">
        <v>1751</v>
      </c>
      <c r="E367" s="854" t="s">
        <v>2631</v>
      </c>
      <c r="F367" s="856">
        <v>1995</v>
      </c>
    </row>
    <row r="368" spans="1:6" ht="14.6" x14ac:dyDescent="0.4">
      <c r="A368" s="854" t="s">
        <v>575</v>
      </c>
      <c r="B368" s="855">
        <v>43761</v>
      </c>
      <c r="C368" s="854" t="s">
        <v>2832</v>
      </c>
      <c r="D368" s="854" t="s">
        <v>2570</v>
      </c>
      <c r="E368" s="854" t="s">
        <v>2865</v>
      </c>
      <c r="F368" s="856">
        <v>33.24</v>
      </c>
    </row>
    <row r="369" spans="1:6" ht="14.6" x14ac:dyDescent="0.4">
      <c r="A369" s="854" t="s">
        <v>576</v>
      </c>
      <c r="B369" s="855">
        <v>43762</v>
      </c>
      <c r="C369" s="854" t="s">
        <v>2833</v>
      </c>
      <c r="D369" s="854" t="s">
        <v>739</v>
      </c>
      <c r="E369" s="854" t="s">
        <v>2866</v>
      </c>
      <c r="F369" s="856">
        <v>225</v>
      </c>
    </row>
    <row r="370" spans="1:6" ht="14.6" x14ac:dyDescent="0.4">
      <c r="A370" s="854" t="s">
        <v>576</v>
      </c>
      <c r="B370" s="855">
        <v>43762</v>
      </c>
      <c r="C370" s="854" t="s">
        <v>2833</v>
      </c>
      <c r="D370" s="854" t="s">
        <v>739</v>
      </c>
      <c r="E370" s="854" t="s">
        <v>2867</v>
      </c>
      <c r="F370" s="856">
        <v>225</v>
      </c>
    </row>
    <row r="371" spans="1:6" ht="14.6" x14ac:dyDescent="0.4">
      <c r="A371" s="854" t="s">
        <v>575</v>
      </c>
      <c r="B371" s="855">
        <v>43762</v>
      </c>
      <c r="C371" s="854" t="s">
        <v>2834</v>
      </c>
      <c r="D371" s="854" t="s">
        <v>744</v>
      </c>
      <c r="E371" s="854" t="s">
        <v>2868</v>
      </c>
      <c r="F371" s="856">
        <v>500</v>
      </c>
    </row>
    <row r="372" spans="1:6" ht="14.6" x14ac:dyDescent="0.4">
      <c r="A372" s="854" t="s">
        <v>575</v>
      </c>
      <c r="B372" s="855">
        <v>43762</v>
      </c>
      <c r="C372" s="854" t="s">
        <v>2835</v>
      </c>
      <c r="D372" s="854" t="s">
        <v>744</v>
      </c>
      <c r="E372" s="854" t="s">
        <v>2869</v>
      </c>
      <c r="F372" s="856">
        <v>500</v>
      </c>
    </row>
    <row r="373" spans="1:6" ht="14.6" x14ac:dyDescent="0.4">
      <c r="A373" s="854" t="s">
        <v>576</v>
      </c>
      <c r="B373" s="855">
        <v>43766</v>
      </c>
      <c r="C373" s="854" t="s">
        <v>2836</v>
      </c>
      <c r="D373" s="854" t="s">
        <v>2859</v>
      </c>
      <c r="E373" s="854" t="s">
        <v>2870</v>
      </c>
      <c r="F373" s="856">
        <v>225</v>
      </c>
    </row>
    <row r="374" spans="1:6" ht="14.6" x14ac:dyDescent="0.4">
      <c r="A374" s="854" t="s">
        <v>576</v>
      </c>
      <c r="B374" s="855">
        <v>43766</v>
      </c>
      <c r="C374" s="854" t="s">
        <v>2837</v>
      </c>
      <c r="D374" s="854" t="s">
        <v>2859</v>
      </c>
      <c r="E374" s="854" t="s">
        <v>2871</v>
      </c>
      <c r="F374" s="856">
        <v>225</v>
      </c>
    </row>
    <row r="375" spans="1:6" ht="14.6" x14ac:dyDescent="0.4">
      <c r="A375" s="854" t="s">
        <v>576</v>
      </c>
      <c r="B375" s="855">
        <v>43766</v>
      </c>
      <c r="C375" s="854" t="s">
        <v>2838</v>
      </c>
      <c r="D375" s="854" t="s">
        <v>2859</v>
      </c>
      <c r="E375" s="854" t="s">
        <v>2872</v>
      </c>
      <c r="F375" s="856">
        <v>225</v>
      </c>
    </row>
    <row r="376" spans="1:6" ht="14.6" x14ac:dyDescent="0.4">
      <c r="A376" s="854" t="s">
        <v>576</v>
      </c>
      <c r="B376" s="855">
        <v>43766</v>
      </c>
      <c r="C376" s="854" t="s">
        <v>2839</v>
      </c>
      <c r="D376" s="854" t="s">
        <v>2859</v>
      </c>
      <c r="E376" s="854" t="s">
        <v>2873</v>
      </c>
      <c r="F376" s="856">
        <v>225</v>
      </c>
    </row>
    <row r="377" spans="1:6" ht="14.6" x14ac:dyDescent="0.4">
      <c r="A377" s="854" t="s">
        <v>576</v>
      </c>
      <c r="B377" s="855">
        <v>43766</v>
      </c>
      <c r="C377" s="854" t="s">
        <v>2840</v>
      </c>
      <c r="D377" s="854" t="s">
        <v>2859</v>
      </c>
      <c r="E377" s="854" t="s">
        <v>2874</v>
      </c>
      <c r="F377" s="856">
        <v>225</v>
      </c>
    </row>
    <row r="378" spans="1:6" ht="14.6" x14ac:dyDescent="0.4">
      <c r="A378" s="854" t="s">
        <v>576</v>
      </c>
      <c r="B378" s="855">
        <v>43766</v>
      </c>
      <c r="C378" s="854" t="s">
        <v>2841</v>
      </c>
      <c r="D378" s="854" t="s">
        <v>2859</v>
      </c>
      <c r="E378" s="854" t="s">
        <v>2875</v>
      </c>
      <c r="F378" s="856">
        <v>225</v>
      </c>
    </row>
    <row r="379" spans="1:6" ht="14.6" x14ac:dyDescent="0.4">
      <c r="A379" s="854" t="s">
        <v>576</v>
      </c>
      <c r="B379" s="855">
        <v>43766</v>
      </c>
      <c r="C379" s="854" t="s">
        <v>2842</v>
      </c>
      <c r="D379" s="854" t="s">
        <v>2859</v>
      </c>
      <c r="E379" s="854" t="s">
        <v>2876</v>
      </c>
      <c r="F379" s="856">
        <v>225</v>
      </c>
    </row>
    <row r="380" spans="1:6" ht="14.6" x14ac:dyDescent="0.4">
      <c r="A380" s="854" t="s">
        <v>576</v>
      </c>
      <c r="B380" s="855">
        <v>43766</v>
      </c>
      <c r="C380" s="854" t="s">
        <v>2843</v>
      </c>
      <c r="D380" s="854" t="s">
        <v>2859</v>
      </c>
      <c r="E380" s="854" t="s">
        <v>2877</v>
      </c>
      <c r="F380" s="856">
        <v>225</v>
      </c>
    </row>
    <row r="381" spans="1:6" ht="14.6" x14ac:dyDescent="0.4">
      <c r="A381" s="854" t="s">
        <v>576</v>
      </c>
      <c r="B381" s="855">
        <v>43766</v>
      </c>
      <c r="C381" s="854" t="s">
        <v>2844</v>
      </c>
      <c r="D381" s="854" t="s">
        <v>2859</v>
      </c>
      <c r="E381" s="854" t="s">
        <v>2878</v>
      </c>
      <c r="F381" s="856">
        <v>225</v>
      </c>
    </row>
    <row r="382" spans="1:6" ht="14.6" x14ac:dyDescent="0.4">
      <c r="A382" s="854" t="s">
        <v>576</v>
      </c>
      <c r="B382" s="855">
        <v>43766</v>
      </c>
      <c r="C382" s="854" t="s">
        <v>2845</v>
      </c>
      <c r="D382" s="854" t="s">
        <v>2859</v>
      </c>
      <c r="E382" s="854" t="s">
        <v>2879</v>
      </c>
      <c r="F382" s="856">
        <v>225</v>
      </c>
    </row>
    <row r="383" spans="1:6" ht="14.6" x14ac:dyDescent="0.4">
      <c r="A383" s="854" t="s">
        <v>576</v>
      </c>
      <c r="B383" s="855">
        <v>43766</v>
      </c>
      <c r="C383" s="854" t="s">
        <v>2846</v>
      </c>
      <c r="D383" s="854" t="s">
        <v>2859</v>
      </c>
      <c r="E383" s="854" t="s">
        <v>2880</v>
      </c>
      <c r="F383" s="856">
        <v>225</v>
      </c>
    </row>
    <row r="384" spans="1:6" ht="14.6" x14ac:dyDescent="0.4">
      <c r="A384" s="854" t="s">
        <v>576</v>
      </c>
      <c r="B384" s="855">
        <v>43767</v>
      </c>
      <c r="C384" s="854" t="s">
        <v>2847</v>
      </c>
      <c r="D384" s="854" t="s">
        <v>1751</v>
      </c>
      <c r="E384" s="854" t="s">
        <v>2631</v>
      </c>
      <c r="F384" s="856">
        <v>299.25</v>
      </c>
    </row>
    <row r="385" spans="1:6" ht="14.6" x14ac:dyDescent="0.4">
      <c r="A385" s="854" t="s">
        <v>575</v>
      </c>
      <c r="B385" s="855">
        <v>43767</v>
      </c>
      <c r="C385" s="854" t="s">
        <v>2848</v>
      </c>
      <c r="D385" s="854" t="s">
        <v>739</v>
      </c>
      <c r="E385" s="854" t="s">
        <v>2881</v>
      </c>
      <c r="F385" s="856">
        <v>50</v>
      </c>
    </row>
    <row r="386" spans="1:6" ht="14.6" x14ac:dyDescent="0.4">
      <c r="A386" s="854" t="s">
        <v>576</v>
      </c>
      <c r="B386" s="855">
        <v>43767</v>
      </c>
      <c r="C386" s="854" t="s">
        <v>728</v>
      </c>
      <c r="D386" s="854" t="s">
        <v>738</v>
      </c>
      <c r="E386" s="854" t="s">
        <v>2882</v>
      </c>
      <c r="F386" s="856">
        <v>200</v>
      </c>
    </row>
    <row r="387" spans="1:6" ht="14.6" x14ac:dyDescent="0.4">
      <c r="A387" s="854" t="s">
        <v>576</v>
      </c>
      <c r="B387" s="855">
        <v>43767</v>
      </c>
      <c r="C387" s="854" t="s">
        <v>728</v>
      </c>
      <c r="D387" s="854" t="s">
        <v>738</v>
      </c>
      <c r="E387" s="854" t="s">
        <v>2883</v>
      </c>
      <c r="F387" s="856">
        <v>200</v>
      </c>
    </row>
    <row r="388" spans="1:6" ht="14.6" x14ac:dyDescent="0.4">
      <c r="A388" s="854" t="s">
        <v>576</v>
      </c>
      <c r="B388" s="855">
        <v>43767</v>
      </c>
      <c r="C388" s="854" t="s">
        <v>728</v>
      </c>
      <c r="D388" s="854" t="s">
        <v>738</v>
      </c>
      <c r="E388" s="854" t="s">
        <v>2884</v>
      </c>
      <c r="F388" s="856">
        <v>160</v>
      </c>
    </row>
    <row r="389" spans="1:6" ht="14.6" x14ac:dyDescent="0.4">
      <c r="A389" s="854" t="s">
        <v>576</v>
      </c>
      <c r="B389" s="855">
        <v>43767</v>
      </c>
      <c r="C389" s="854" t="s">
        <v>728</v>
      </c>
      <c r="D389" s="854" t="s">
        <v>738</v>
      </c>
      <c r="E389" s="854" t="s">
        <v>2885</v>
      </c>
      <c r="F389" s="856">
        <v>80</v>
      </c>
    </row>
    <row r="390" spans="1:6" ht="14.6" x14ac:dyDescent="0.4">
      <c r="A390" s="854" t="s">
        <v>576</v>
      </c>
      <c r="B390" s="855">
        <v>43767</v>
      </c>
      <c r="C390" s="854" t="s">
        <v>728</v>
      </c>
      <c r="D390" s="854" t="s">
        <v>738</v>
      </c>
      <c r="E390" s="854" t="s">
        <v>2886</v>
      </c>
      <c r="F390" s="856">
        <v>200</v>
      </c>
    </row>
    <row r="391" spans="1:6" ht="14.6" x14ac:dyDescent="0.4">
      <c r="A391" s="854" t="s">
        <v>576</v>
      </c>
      <c r="B391" s="855">
        <v>43767</v>
      </c>
      <c r="C391" s="854" t="s">
        <v>728</v>
      </c>
      <c r="D391" s="854" t="s">
        <v>738</v>
      </c>
      <c r="E391" s="854" t="s">
        <v>2887</v>
      </c>
      <c r="F391" s="856">
        <v>160</v>
      </c>
    </row>
    <row r="392" spans="1:6" ht="14.6" x14ac:dyDescent="0.4">
      <c r="A392" s="854" t="s">
        <v>576</v>
      </c>
      <c r="B392" s="855">
        <v>43767</v>
      </c>
      <c r="C392" s="854" t="s">
        <v>728</v>
      </c>
      <c r="D392" s="854" t="s">
        <v>738</v>
      </c>
      <c r="E392" s="854" t="s">
        <v>2888</v>
      </c>
      <c r="F392" s="856">
        <v>80</v>
      </c>
    </row>
    <row r="393" spans="1:6" ht="14.6" x14ac:dyDescent="0.4">
      <c r="A393" s="854" t="s">
        <v>576</v>
      </c>
      <c r="B393" s="855">
        <v>43767</v>
      </c>
      <c r="C393" s="854" t="s">
        <v>728</v>
      </c>
      <c r="D393" s="854" t="s">
        <v>738</v>
      </c>
      <c r="E393" s="854" t="s">
        <v>2889</v>
      </c>
      <c r="F393" s="856">
        <v>200</v>
      </c>
    </row>
    <row r="394" spans="1:6" ht="14.6" x14ac:dyDescent="0.4">
      <c r="A394" s="854" t="s">
        <v>576</v>
      </c>
      <c r="B394" s="855">
        <v>43767</v>
      </c>
      <c r="C394" s="854" t="s">
        <v>728</v>
      </c>
      <c r="D394" s="854" t="s">
        <v>738</v>
      </c>
      <c r="E394" s="854" t="s">
        <v>2890</v>
      </c>
      <c r="F394" s="856">
        <v>200</v>
      </c>
    </row>
    <row r="395" spans="1:6" ht="14.6" x14ac:dyDescent="0.4">
      <c r="A395" s="854" t="s">
        <v>576</v>
      </c>
      <c r="B395" s="855">
        <v>43767</v>
      </c>
      <c r="C395" s="854" t="s">
        <v>728</v>
      </c>
      <c r="D395" s="854" t="s">
        <v>738</v>
      </c>
      <c r="E395" s="854" t="s">
        <v>2891</v>
      </c>
      <c r="F395" s="856">
        <v>160</v>
      </c>
    </row>
    <row r="396" spans="1:6" ht="14.6" x14ac:dyDescent="0.4">
      <c r="A396" s="854" t="s">
        <v>576</v>
      </c>
      <c r="B396" s="855">
        <v>43767</v>
      </c>
      <c r="C396" s="854" t="s">
        <v>728</v>
      </c>
      <c r="D396" s="854" t="s">
        <v>738</v>
      </c>
      <c r="E396" s="854" t="s">
        <v>2892</v>
      </c>
      <c r="F396" s="856">
        <v>200</v>
      </c>
    </row>
    <row r="397" spans="1:6" ht="14.6" x14ac:dyDescent="0.4">
      <c r="A397" s="854" t="s">
        <v>576</v>
      </c>
      <c r="B397" s="855">
        <v>43767</v>
      </c>
      <c r="C397" s="854" t="s">
        <v>728</v>
      </c>
      <c r="D397" s="854" t="s">
        <v>738</v>
      </c>
      <c r="E397" s="854" t="s">
        <v>2893</v>
      </c>
      <c r="F397" s="856">
        <v>200</v>
      </c>
    </row>
    <row r="398" spans="1:6" ht="14.6" x14ac:dyDescent="0.4">
      <c r="A398" s="854" t="s">
        <v>576</v>
      </c>
      <c r="B398" s="855">
        <v>43767</v>
      </c>
      <c r="C398" s="854" t="s">
        <v>728</v>
      </c>
      <c r="D398" s="854" t="s">
        <v>738</v>
      </c>
      <c r="E398" s="854" t="s">
        <v>2884</v>
      </c>
      <c r="F398" s="856">
        <v>160</v>
      </c>
    </row>
    <row r="399" spans="1:6" ht="14.6" x14ac:dyDescent="0.4">
      <c r="A399" s="854" t="s">
        <v>576</v>
      </c>
      <c r="B399" s="855">
        <v>43767</v>
      </c>
      <c r="C399" s="854" t="s">
        <v>728</v>
      </c>
      <c r="D399" s="854" t="s">
        <v>738</v>
      </c>
      <c r="E399" s="854" t="s">
        <v>2894</v>
      </c>
      <c r="F399" s="856">
        <v>200</v>
      </c>
    </row>
    <row r="400" spans="1:6" ht="14.6" x14ac:dyDescent="0.4">
      <c r="A400" s="854" t="s">
        <v>576</v>
      </c>
      <c r="B400" s="855">
        <v>43767</v>
      </c>
      <c r="C400" s="854" t="s">
        <v>728</v>
      </c>
      <c r="D400" s="854" t="s">
        <v>738</v>
      </c>
      <c r="E400" s="854" t="s">
        <v>2895</v>
      </c>
      <c r="F400" s="856">
        <v>200</v>
      </c>
    </row>
    <row r="401" spans="1:6" ht="14.6" x14ac:dyDescent="0.4">
      <c r="A401" s="854" t="s">
        <v>576</v>
      </c>
      <c r="B401" s="855">
        <v>43767</v>
      </c>
      <c r="C401" s="854" t="s">
        <v>728</v>
      </c>
      <c r="D401" s="854" t="s">
        <v>738</v>
      </c>
      <c r="E401" s="854" t="s">
        <v>2896</v>
      </c>
      <c r="F401" s="856">
        <v>200</v>
      </c>
    </row>
    <row r="402" spans="1:6" ht="14.6" x14ac:dyDescent="0.4">
      <c r="A402" s="854" t="s">
        <v>576</v>
      </c>
      <c r="B402" s="855">
        <v>43767</v>
      </c>
      <c r="C402" s="854" t="s">
        <v>728</v>
      </c>
      <c r="D402" s="854" t="s">
        <v>738</v>
      </c>
      <c r="E402" s="854" t="s">
        <v>2897</v>
      </c>
      <c r="F402" s="856">
        <v>160</v>
      </c>
    </row>
    <row r="403" spans="1:6" ht="14.6" x14ac:dyDescent="0.4">
      <c r="A403" s="854" t="s">
        <v>576</v>
      </c>
      <c r="B403" s="855">
        <v>43767</v>
      </c>
      <c r="C403" s="854" t="s">
        <v>728</v>
      </c>
      <c r="D403" s="854" t="s">
        <v>738</v>
      </c>
      <c r="E403" s="854" t="s">
        <v>2898</v>
      </c>
      <c r="F403" s="856">
        <v>200</v>
      </c>
    </row>
    <row r="404" spans="1:6" ht="14.6" x14ac:dyDescent="0.4">
      <c r="A404" s="854" t="s">
        <v>576</v>
      </c>
      <c r="B404" s="855">
        <v>43767</v>
      </c>
      <c r="C404" s="854" t="s">
        <v>728</v>
      </c>
      <c r="D404" s="854" t="s">
        <v>738</v>
      </c>
      <c r="E404" s="854" t="s">
        <v>2899</v>
      </c>
      <c r="F404" s="856">
        <v>200</v>
      </c>
    </row>
    <row r="405" spans="1:6" ht="14.6" x14ac:dyDescent="0.4">
      <c r="A405" s="854" t="s">
        <v>576</v>
      </c>
      <c r="B405" s="855">
        <v>43767</v>
      </c>
      <c r="C405" s="854" t="s">
        <v>728</v>
      </c>
      <c r="D405" s="854" t="s">
        <v>738</v>
      </c>
      <c r="E405" s="854" t="s">
        <v>2900</v>
      </c>
      <c r="F405" s="856">
        <v>200</v>
      </c>
    </row>
    <row r="406" spans="1:6" ht="14.6" x14ac:dyDescent="0.4">
      <c r="A406" s="854" t="s">
        <v>576</v>
      </c>
      <c r="B406" s="855">
        <v>43767</v>
      </c>
      <c r="C406" s="854" t="s">
        <v>728</v>
      </c>
      <c r="D406" s="854" t="s">
        <v>738</v>
      </c>
      <c r="E406" s="854" t="s">
        <v>2901</v>
      </c>
      <c r="F406" s="856">
        <v>200</v>
      </c>
    </row>
    <row r="407" spans="1:6" ht="14.6" x14ac:dyDescent="0.4">
      <c r="A407" s="854" t="s">
        <v>576</v>
      </c>
      <c r="B407" s="855">
        <v>43767</v>
      </c>
      <c r="C407" s="854" t="s">
        <v>728</v>
      </c>
      <c r="D407" s="854" t="s">
        <v>738</v>
      </c>
      <c r="E407" s="854" t="s">
        <v>2902</v>
      </c>
      <c r="F407" s="856">
        <v>200</v>
      </c>
    </row>
    <row r="408" spans="1:6" ht="14.6" x14ac:dyDescent="0.4">
      <c r="A408" s="854" t="s">
        <v>576</v>
      </c>
      <c r="B408" s="855">
        <v>43767</v>
      </c>
      <c r="C408" s="854" t="s">
        <v>728</v>
      </c>
      <c r="D408" s="854" t="s">
        <v>738</v>
      </c>
      <c r="E408" s="854" t="s">
        <v>2903</v>
      </c>
      <c r="F408" s="856">
        <v>150</v>
      </c>
    </row>
    <row r="409" spans="1:6" ht="14.6" x14ac:dyDescent="0.4">
      <c r="A409" s="854" t="s">
        <v>576</v>
      </c>
      <c r="B409" s="855">
        <v>43767</v>
      </c>
      <c r="C409" s="854" t="s">
        <v>728</v>
      </c>
      <c r="D409" s="854" t="s">
        <v>738</v>
      </c>
      <c r="E409" s="854" t="s">
        <v>2904</v>
      </c>
      <c r="F409" s="856">
        <v>-200</v>
      </c>
    </row>
    <row r="410" spans="1:6" ht="14.6" x14ac:dyDescent="0.4">
      <c r="A410" s="854" t="s">
        <v>576</v>
      </c>
      <c r="B410" s="855">
        <v>43773</v>
      </c>
      <c r="C410" s="854" t="s">
        <v>2222</v>
      </c>
      <c r="D410" s="854" t="s">
        <v>1241</v>
      </c>
      <c r="E410" s="854" t="s">
        <v>2905</v>
      </c>
      <c r="F410" s="856">
        <v>60</v>
      </c>
    </row>
    <row r="411" spans="1:6" ht="14.6" x14ac:dyDescent="0.4">
      <c r="A411" s="854" t="s">
        <v>576</v>
      </c>
      <c r="B411" s="855">
        <v>43773</v>
      </c>
      <c r="C411" s="854" t="s">
        <v>2222</v>
      </c>
      <c r="D411" s="854" t="s">
        <v>2860</v>
      </c>
      <c r="E411" s="854" t="s">
        <v>2906</v>
      </c>
      <c r="F411" s="856">
        <v>59.55</v>
      </c>
    </row>
    <row r="412" spans="1:6" ht="14.6" x14ac:dyDescent="0.4">
      <c r="A412" s="854" t="s">
        <v>576</v>
      </c>
      <c r="B412" s="855">
        <v>43773</v>
      </c>
      <c r="C412" s="854" t="s">
        <v>2849</v>
      </c>
      <c r="D412" s="854" t="s">
        <v>2861</v>
      </c>
      <c r="E412" s="854" t="s">
        <v>2907</v>
      </c>
      <c r="F412" s="856">
        <v>57.45</v>
      </c>
    </row>
    <row r="413" spans="1:6" ht="14.6" x14ac:dyDescent="0.4">
      <c r="A413" s="854" t="s">
        <v>575</v>
      </c>
      <c r="B413" s="855">
        <v>43774</v>
      </c>
      <c r="C413" s="854" t="s">
        <v>2850</v>
      </c>
      <c r="D413" s="854" t="s">
        <v>741</v>
      </c>
      <c r="E413" s="854" t="s">
        <v>2908</v>
      </c>
      <c r="F413" s="856">
        <v>344.04</v>
      </c>
    </row>
    <row r="414" spans="1:6" ht="14.6" x14ac:dyDescent="0.4">
      <c r="A414" s="854" t="s">
        <v>575</v>
      </c>
      <c r="B414" s="855">
        <v>43774</v>
      </c>
      <c r="C414" s="854" t="s">
        <v>2851</v>
      </c>
      <c r="D414" s="854" t="s">
        <v>2862</v>
      </c>
      <c r="E414" s="854" t="s">
        <v>2909</v>
      </c>
      <c r="F414" s="856">
        <v>230.98</v>
      </c>
    </row>
    <row r="415" spans="1:6" ht="14.6" x14ac:dyDescent="0.4">
      <c r="A415" s="854" t="s">
        <v>575</v>
      </c>
      <c r="B415" s="855">
        <v>43774</v>
      </c>
      <c r="C415" s="854" t="s">
        <v>2851</v>
      </c>
      <c r="D415" s="854" t="s">
        <v>2862</v>
      </c>
      <c r="E415" s="854" t="s">
        <v>2910</v>
      </c>
      <c r="F415" s="856">
        <v>230.98</v>
      </c>
    </row>
    <row r="416" spans="1:6" ht="14.6" x14ac:dyDescent="0.4">
      <c r="A416" s="854" t="s">
        <v>575</v>
      </c>
      <c r="B416" s="855">
        <v>43774</v>
      </c>
      <c r="C416" s="854" t="s">
        <v>2851</v>
      </c>
      <c r="D416" s="854" t="s">
        <v>2862</v>
      </c>
      <c r="E416" s="854" t="s">
        <v>2911</v>
      </c>
      <c r="F416" s="856">
        <v>230.98</v>
      </c>
    </row>
    <row r="417" spans="1:6" ht="14.6" x14ac:dyDescent="0.4">
      <c r="A417" s="854" t="s">
        <v>575</v>
      </c>
      <c r="B417" s="855">
        <v>43774</v>
      </c>
      <c r="C417" s="854" t="s">
        <v>2852</v>
      </c>
      <c r="D417" s="854" t="s">
        <v>744</v>
      </c>
      <c r="E417" s="854" t="s">
        <v>2912</v>
      </c>
      <c r="F417" s="856">
        <v>45</v>
      </c>
    </row>
    <row r="418" spans="1:6" ht="14.6" x14ac:dyDescent="0.4">
      <c r="A418" s="854" t="s">
        <v>576</v>
      </c>
      <c r="B418" s="855">
        <v>43775</v>
      </c>
      <c r="C418" s="854" t="s">
        <v>2853</v>
      </c>
      <c r="D418" s="854" t="s">
        <v>2859</v>
      </c>
      <c r="E418" s="854" t="s">
        <v>2913</v>
      </c>
      <c r="F418" s="856">
        <v>225</v>
      </c>
    </row>
    <row r="419" spans="1:6" ht="14.6" x14ac:dyDescent="0.4">
      <c r="A419" s="854" t="s">
        <v>576</v>
      </c>
      <c r="B419" s="855">
        <v>43777</v>
      </c>
      <c r="C419" s="854" t="s">
        <v>2854</v>
      </c>
      <c r="D419" s="854" t="s">
        <v>1253</v>
      </c>
      <c r="E419" s="854" t="s">
        <v>2914</v>
      </c>
      <c r="F419" s="856">
        <v>102.75</v>
      </c>
    </row>
    <row r="420" spans="1:6" ht="14.6" x14ac:dyDescent="0.4">
      <c r="A420" s="854" t="s">
        <v>576</v>
      </c>
      <c r="B420" s="855">
        <v>43777</v>
      </c>
      <c r="C420" s="854" t="s">
        <v>2855</v>
      </c>
      <c r="D420" s="854" t="s">
        <v>1747</v>
      </c>
      <c r="E420" s="854" t="s">
        <v>2915</v>
      </c>
      <c r="F420" s="856">
        <v>45</v>
      </c>
    </row>
    <row r="421" spans="1:6" ht="14.6" x14ac:dyDescent="0.4">
      <c r="A421" s="854" t="s">
        <v>576</v>
      </c>
      <c r="B421" s="855">
        <v>43777</v>
      </c>
      <c r="C421" s="854" t="s">
        <v>2856</v>
      </c>
      <c r="D421" s="854" t="s">
        <v>1747</v>
      </c>
      <c r="E421" s="854" t="s">
        <v>2916</v>
      </c>
      <c r="F421" s="856">
        <v>100</v>
      </c>
    </row>
    <row r="422" spans="1:6" ht="14.6" x14ac:dyDescent="0.4">
      <c r="A422" s="854" t="s">
        <v>576</v>
      </c>
      <c r="B422" s="855">
        <v>43782</v>
      </c>
      <c r="C422" s="854" t="s">
        <v>2857</v>
      </c>
      <c r="D422" s="854" t="s">
        <v>739</v>
      </c>
      <c r="E422" s="854" t="s">
        <v>2917</v>
      </c>
      <c r="F422" s="856">
        <v>400</v>
      </c>
    </row>
    <row r="423" spans="1:6" ht="14.6" x14ac:dyDescent="0.4">
      <c r="A423" s="854" t="s">
        <v>575</v>
      </c>
      <c r="B423" s="855">
        <v>43782</v>
      </c>
      <c r="C423" s="854" t="s">
        <v>3089</v>
      </c>
      <c r="D423" s="854" t="s">
        <v>3115</v>
      </c>
      <c r="E423" s="854" t="s">
        <v>3127</v>
      </c>
      <c r="F423" s="856">
        <v>299.81</v>
      </c>
    </row>
    <row r="424" spans="1:6" ht="14.6" x14ac:dyDescent="0.4">
      <c r="A424" s="854" t="s">
        <v>575</v>
      </c>
      <c r="B424" s="855">
        <v>43782</v>
      </c>
      <c r="C424" s="854" t="s">
        <v>3090</v>
      </c>
      <c r="D424" s="854" t="s">
        <v>1248</v>
      </c>
      <c r="E424" s="854" t="s">
        <v>3128</v>
      </c>
      <c r="F424" s="856">
        <v>44.12</v>
      </c>
    </row>
    <row r="425" spans="1:6" ht="14.6" x14ac:dyDescent="0.4">
      <c r="A425" s="854" t="s">
        <v>576</v>
      </c>
      <c r="B425" s="855">
        <v>43783</v>
      </c>
      <c r="C425" s="854" t="s">
        <v>2858</v>
      </c>
      <c r="D425" s="854" t="s">
        <v>2863</v>
      </c>
      <c r="E425" s="854" t="s">
        <v>2918</v>
      </c>
      <c r="F425" s="856">
        <v>1650</v>
      </c>
    </row>
    <row r="426" spans="1:6" ht="14.6" x14ac:dyDescent="0.4">
      <c r="A426" s="854" t="s">
        <v>575</v>
      </c>
      <c r="B426" s="855">
        <v>43783</v>
      </c>
      <c r="C426" s="854" t="s">
        <v>3091</v>
      </c>
      <c r="D426" s="854" t="s">
        <v>3116</v>
      </c>
      <c r="E426" s="854" t="s">
        <v>3129</v>
      </c>
      <c r="F426" s="856">
        <v>294.27</v>
      </c>
    </row>
    <row r="427" spans="1:6" ht="14.6" x14ac:dyDescent="0.4">
      <c r="A427" s="854" t="s">
        <v>575</v>
      </c>
      <c r="B427" s="855">
        <v>43787</v>
      </c>
      <c r="C427" s="854" t="s">
        <v>3092</v>
      </c>
      <c r="D427" s="854" t="s">
        <v>3116</v>
      </c>
      <c r="E427" s="854" t="s">
        <v>3130</v>
      </c>
      <c r="F427" s="856">
        <v>27</v>
      </c>
    </row>
    <row r="428" spans="1:6" ht="14.6" x14ac:dyDescent="0.4">
      <c r="A428" s="854" t="s">
        <v>575</v>
      </c>
      <c r="B428" s="855">
        <v>43787</v>
      </c>
      <c r="C428" s="854" t="s">
        <v>3093</v>
      </c>
      <c r="D428" s="854" t="s">
        <v>2567</v>
      </c>
      <c r="E428" s="854" t="s">
        <v>3131</v>
      </c>
      <c r="F428" s="856">
        <v>133.38</v>
      </c>
    </row>
    <row r="429" spans="1:6" ht="15" customHeight="1" x14ac:dyDescent="0.4">
      <c r="A429" s="854" t="s">
        <v>575</v>
      </c>
      <c r="B429" s="855">
        <v>43789</v>
      </c>
      <c r="C429" s="854" t="s">
        <v>3094</v>
      </c>
      <c r="D429" s="854" t="s">
        <v>741</v>
      </c>
      <c r="E429" s="854" t="s">
        <v>3132</v>
      </c>
      <c r="F429" s="856">
        <v>833</v>
      </c>
    </row>
    <row r="430" spans="1:6" ht="15" customHeight="1" x14ac:dyDescent="0.4">
      <c r="A430" s="854" t="s">
        <v>575</v>
      </c>
      <c r="B430" s="855">
        <v>43789</v>
      </c>
      <c r="C430" s="854" t="s">
        <v>3095</v>
      </c>
      <c r="D430" s="854" t="s">
        <v>741</v>
      </c>
      <c r="E430" s="854" t="s">
        <v>3133</v>
      </c>
      <c r="F430" s="856">
        <v>833</v>
      </c>
    </row>
    <row r="431" spans="1:6" ht="15" customHeight="1" x14ac:dyDescent="0.4">
      <c r="A431" s="854" t="s">
        <v>576</v>
      </c>
      <c r="B431" s="855">
        <v>43789</v>
      </c>
      <c r="C431" s="854" t="s">
        <v>3096</v>
      </c>
      <c r="D431" s="854" t="s">
        <v>2086</v>
      </c>
      <c r="E431" s="854" t="s">
        <v>3134</v>
      </c>
      <c r="F431" s="856">
        <v>180</v>
      </c>
    </row>
    <row r="432" spans="1:6" ht="15" customHeight="1" x14ac:dyDescent="0.4">
      <c r="A432" s="854" t="s">
        <v>576</v>
      </c>
      <c r="B432" s="855">
        <v>43790</v>
      </c>
      <c r="C432" s="854" t="s">
        <v>2222</v>
      </c>
      <c r="D432" s="854" t="s">
        <v>747</v>
      </c>
      <c r="E432" s="854" t="s">
        <v>2919</v>
      </c>
      <c r="F432" s="856">
        <v>201.84</v>
      </c>
    </row>
    <row r="433" spans="1:6" ht="15" customHeight="1" x14ac:dyDescent="0.4">
      <c r="A433" s="854" t="s">
        <v>576</v>
      </c>
      <c r="B433" s="855">
        <v>43794</v>
      </c>
      <c r="C433" s="854" t="s">
        <v>2555</v>
      </c>
      <c r="D433" s="854" t="s">
        <v>751</v>
      </c>
      <c r="E433" s="854" t="s">
        <v>821</v>
      </c>
      <c r="F433" s="856">
        <v>38.270000000000003</v>
      </c>
    </row>
    <row r="434" spans="1:6" ht="15" customHeight="1" x14ac:dyDescent="0.4">
      <c r="A434" s="854" t="s">
        <v>575</v>
      </c>
      <c r="B434" s="855">
        <v>43803</v>
      </c>
      <c r="C434" s="854" t="s">
        <v>3097</v>
      </c>
      <c r="D434" s="854" t="s">
        <v>3117</v>
      </c>
      <c r="E434" s="854" t="s">
        <v>3135</v>
      </c>
      <c r="F434" s="856">
        <v>23.5</v>
      </c>
    </row>
    <row r="435" spans="1:6" ht="15" customHeight="1" x14ac:dyDescent="0.4">
      <c r="A435" s="854" t="s">
        <v>575</v>
      </c>
      <c r="B435" s="855">
        <v>43803</v>
      </c>
      <c r="C435" s="854" t="s">
        <v>3098</v>
      </c>
      <c r="D435" s="854" t="s">
        <v>3118</v>
      </c>
      <c r="E435" s="854" t="s">
        <v>3136</v>
      </c>
      <c r="F435" s="856">
        <v>10.86</v>
      </c>
    </row>
    <row r="436" spans="1:6" ht="15" customHeight="1" x14ac:dyDescent="0.4">
      <c r="A436" s="854" t="s">
        <v>575</v>
      </c>
      <c r="B436" s="855">
        <v>43803</v>
      </c>
      <c r="C436" s="854" t="s">
        <v>3099</v>
      </c>
      <c r="D436" s="854" t="s">
        <v>3119</v>
      </c>
      <c r="E436" s="854" t="s">
        <v>3137</v>
      </c>
      <c r="F436" s="856">
        <v>20</v>
      </c>
    </row>
    <row r="437" spans="1:6" ht="15" customHeight="1" x14ac:dyDescent="0.4">
      <c r="A437" s="854" t="s">
        <v>576</v>
      </c>
      <c r="B437" s="855">
        <v>43804</v>
      </c>
      <c r="C437" s="854" t="s">
        <v>3100</v>
      </c>
      <c r="D437" s="854" t="s">
        <v>3120</v>
      </c>
      <c r="E437" s="854" t="s">
        <v>3138</v>
      </c>
      <c r="F437" s="856">
        <v>3002</v>
      </c>
    </row>
    <row r="438" spans="1:6" ht="15" customHeight="1" x14ac:dyDescent="0.4">
      <c r="A438" s="854" t="s">
        <v>576</v>
      </c>
      <c r="B438" s="855">
        <v>43804</v>
      </c>
      <c r="C438" s="854" t="s">
        <v>3101</v>
      </c>
      <c r="D438" s="854" t="s">
        <v>3121</v>
      </c>
      <c r="E438" s="854" t="s">
        <v>3139</v>
      </c>
      <c r="F438" s="856">
        <v>179.99</v>
      </c>
    </row>
    <row r="439" spans="1:6" ht="15" customHeight="1" x14ac:dyDescent="0.4">
      <c r="A439" s="854" t="s">
        <v>576</v>
      </c>
      <c r="B439" s="855">
        <v>43804</v>
      </c>
      <c r="C439" s="854" t="s">
        <v>3102</v>
      </c>
      <c r="D439" s="854" t="s">
        <v>3121</v>
      </c>
      <c r="E439" s="854" t="s">
        <v>3140</v>
      </c>
      <c r="F439" s="856">
        <v>423.25</v>
      </c>
    </row>
    <row r="440" spans="1:6" ht="15" customHeight="1" x14ac:dyDescent="0.4">
      <c r="A440" s="854" t="s">
        <v>576</v>
      </c>
      <c r="B440" s="855">
        <v>43805</v>
      </c>
      <c r="C440" s="854" t="s">
        <v>2555</v>
      </c>
      <c r="D440" s="854" t="s">
        <v>2860</v>
      </c>
      <c r="E440" s="854" t="s">
        <v>2906</v>
      </c>
      <c r="F440" s="856">
        <v>40.72</v>
      </c>
    </row>
    <row r="441" spans="1:6" ht="15" customHeight="1" x14ac:dyDescent="0.4">
      <c r="A441" s="854" t="s">
        <v>575</v>
      </c>
      <c r="B441" s="855">
        <v>43805</v>
      </c>
      <c r="C441" s="854" t="s">
        <v>3103</v>
      </c>
      <c r="D441" s="854" t="s">
        <v>3122</v>
      </c>
      <c r="E441" s="854" t="s">
        <v>3141</v>
      </c>
      <c r="F441" s="856">
        <v>470.54</v>
      </c>
    </row>
    <row r="442" spans="1:6" ht="15" customHeight="1" x14ac:dyDescent="0.4">
      <c r="A442" s="854" t="s">
        <v>575</v>
      </c>
      <c r="B442" s="855">
        <v>43805</v>
      </c>
      <c r="C442" s="854" t="s">
        <v>3104</v>
      </c>
      <c r="D442" s="854" t="s">
        <v>3122</v>
      </c>
      <c r="E442" s="854" t="s">
        <v>3142</v>
      </c>
      <c r="F442" s="856">
        <v>470.54</v>
      </c>
    </row>
    <row r="443" spans="1:6" ht="15" customHeight="1" x14ac:dyDescent="0.4">
      <c r="A443" s="854" t="s">
        <v>576</v>
      </c>
      <c r="B443" s="855">
        <v>43805</v>
      </c>
      <c r="C443" s="854" t="s">
        <v>3105</v>
      </c>
      <c r="D443" s="854" t="s">
        <v>2086</v>
      </c>
      <c r="E443" s="854" t="s">
        <v>3143</v>
      </c>
      <c r="F443" s="856">
        <v>160</v>
      </c>
    </row>
    <row r="444" spans="1:6" ht="15" customHeight="1" x14ac:dyDescent="0.4">
      <c r="A444" s="854" t="s">
        <v>575</v>
      </c>
      <c r="B444" s="855">
        <v>43805</v>
      </c>
      <c r="C444" s="854" t="s">
        <v>3106</v>
      </c>
      <c r="D444" s="854" t="s">
        <v>3123</v>
      </c>
      <c r="E444" s="854" t="s">
        <v>3136</v>
      </c>
      <c r="F444" s="856">
        <v>32</v>
      </c>
    </row>
    <row r="445" spans="1:6" ht="15" customHeight="1" x14ac:dyDescent="0.4">
      <c r="A445" s="854" t="s">
        <v>575</v>
      </c>
      <c r="B445" s="855">
        <v>43805</v>
      </c>
      <c r="C445" s="854" t="s">
        <v>3107</v>
      </c>
      <c r="D445" s="854" t="s">
        <v>740</v>
      </c>
      <c r="E445" s="854" t="s">
        <v>3144</v>
      </c>
      <c r="F445" s="856">
        <v>28.8</v>
      </c>
    </row>
    <row r="446" spans="1:6" ht="15" customHeight="1" x14ac:dyDescent="0.4">
      <c r="A446" s="854" t="s">
        <v>575</v>
      </c>
      <c r="B446" s="855">
        <v>43806</v>
      </c>
      <c r="C446" s="854" t="s">
        <v>3108</v>
      </c>
      <c r="D446" s="854" t="s">
        <v>743</v>
      </c>
      <c r="E446" s="854" t="s">
        <v>3145</v>
      </c>
      <c r="F446" s="856">
        <v>24</v>
      </c>
    </row>
    <row r="447" spans="1:6" ht="15" customHeight="1" x14ac:dyDescent="0.4">
      <c r="A447" s="854" t="s">
        <v>576</v>
      </c>
      <c r="B447" s="855">
        <v>43808</v>
      </c>
      <c r="C447" s="854" t="s">
        <v>3109</v>
      </c>
      <c r="D447" s="854" t="s">
        <v>2230</v>
      </c>
      <c r="E447" s="854" t="s">
        <v>3146</v>
      </c>
      <c r="F447" s="856">
        <v>65.48</v>
      </c>
    </row>
    <row r="448" spans="1:6" ht="15" customHeight="1" x14ac:dyDescent="0.4">
      <c r="A448" s="854" t="s">
        <v>576</v>
      </c>
      <c r="B448" s="855">
        <v>43808</v>
      </c>
      <c r="C448" s="854" t="s">
        <v>3102</v>
      </c>
      <c r="D448" s="854" t="s">
        <v>747</v>
      </c>
      <c r="E448" s="854" t="s">
        <v>3147</v>
      </c>
      <c r="F448" s="856">
        <v>31</v>
      </c>
    </row>
    <row r="449" spans="1:6" ht="15" customHeight="1" x14ac:dyDescent="0.4">
      <c r="A449" s="854" t="s">
        <v>576</v>
      </c>
      <c r="B449" s="855">
        <v>43808</v>
      </c>
      <c r="C449" s="854" t="s">
        <v>3102</v>
      </c>
      <c r="D449" s="854" t="s">
        <v>2569</v>
      </c>
      <c r="E449" s="854" t="s">
        <v>3148</v>
      </c>
      <c r="F449" s="856">
        <v>21.03</v>
      </c>
    </row>
    <row r="450" spans="1:6" ht="15" customHeight="1" x14ac:dyDescent="0.4">
      <c r="A450" s="854" t="s">
        <v>1534</v>
      </c>
      <c r="B450" s="855">
        <v>43810</v>
      </c>
      <c r="C450" s="854"/>
      <c r="D450" s="854" t="s">
        <v>747</v>
      </c>
      <c r="E450" s="854" t="s">
        <v>3152</v>
      </c>
      <c r="F450" s="856">
        <v>-7.75</v>
      </c>
    </row>
    <row r="451" spans="1:6" ht="15" customHeight="1" x14ac:dyDescent="0.4">
      <c r="A451" s="854" t="s">
        <v>1534</v>
      </c>
      <c r="B451" s="855">
        <v>43810</v>
      </c>
      <c r="C451" s="854"/>
      <c r="D451" s="854" t="s">
        <v>3124</v>
      </c>
      <c r="E451" s="854" t="s">
        <v>3153</v>
      </c>
      <c r="F451" s="856">
        <v>-425</v>
      </c>
    </row>
    <row r="452" spans="1:6" ht="15" customHeight="1" x14ac:dyDescent="0.4">
      <c r="A452" s="854" t="s">
        <v>576</v>
      </c>
      <c r="B452" s="855">
        <v>43810</v>
      </c>
      <c r="C452" s="854" t="s">
        <v>3110</v>
      </c>
      <c r="D452" s="854" t="s">
        <v>3125</v>
      </c>
      <c r="E452" s="854" t="s">
        <v>3149</v>
      </c>
      <c r="F452" s="856">
        <v>4333.51</v>
      </c>
    </row>
    <row r="453" spans="1:6" ht="15" customHeight="1" x14ac:dyDescent="0.4">
      <c r="A453" s="854" t="s">
        <v>576</v>
      </c>
      <c r="B453" s="855">
        <v>43810</v>
      </c>
      <c r="C453" s="854" t="s">
        <v>3102</v>
      </c>
      <c r="D453" s="854" t="s">
        <v>1250</v>
      </c>
      <c r="E453" s="854" t="s">
        <v>2627</v>
      </c>
      <c r="F453" s="856">
        <v>48.65</v>
      </c>
    </row>
    <row r="454" spans="1:6" ht="15" customHeight="1" x14ac:dyDescent="0.4">
      <c r="A454" s="854" t="s">
        <v>576</v>
      </c>
      <c r="B454" s="855">
        <v>43810</v>
      </c>
      <c r="C454" s="854" t="s">
        <v>728</v>
      </c>
      <c r="D454" s="854" t="s">
        <v>738</v>
      </c>
      <c r="E454" s="854" t="s">
        <v>3150</v>
      </c>
      <c r="F454" s="856">
        <v>80</v>
      </c>
    </row>
    <row r="455" spans="1:6" ht="15" customHeight="1" x14ac:dyDescent="0.4">
      <c r="A455" s="854" t="s">
        <v>576</v>
      </c>
      <c r="B455" s="855">
        <v>43812</v>
      </c>
      <c r="C455" s="854" t="s">
        <v>3111</v>
      </c>
      <c r="D455" s="854" t="s">
        <v>758</v>
      </c>
      <c r="E455" s="854" t="s">
        <v>2322</v>
      </c>
      <c r="F455" s="856">
        <v>0</v>
      </c>
    </row>
    <row r="456" spans="1:6" ht="15" customHeight="1" x14ac:dyDescent="0.4">
      <c r="A456" s="854" t="s">
        <v>576</v>
      </c>
      <c r="B456" s="855">
        <v>43815</v>
      </c>
      <c r="C456" s="854" t="s">
        <v>3102</v>
      </c>
      <c r="D456" s="854" t="s">
        <v>2242</v>
      </c>
      <c r="E456" s="854" t="s">
        <v>3151</v>
      </c>
      <c r="F456" s="856">
        <v>869.8</v>
      </c>
    </row>
    <row r="457" spans="1:6" ht="15" customHeight="1" x14ac:dyDescent="0.4">
      <c r="A457" s="854" t="s">
        <v>576</v>
      </c>
      <c r="B457" s="855">
        <v>43815</v>
      </c>
      <c r="C457" s="854" t="s">
        <v>3102</v>
      </c>
      <c r="D457" s="854" t="s">
        <v>3126</v>
      </c>
      <c r="E457" s="854" t="s">
        <v>3151</v>
      </c>
      <c r="F457" s="856">
        <v>931.91</v>
      </c>
    </row>
    <row r="458" spans="1:6" ht="15" customHeight="1" x14ac:dyDescent="0.4">
      <c r="A458" s="854" t="s">
        <v>576</v>
      </c>
      <c r="B458" s="855">
        <v>43821</v>
      </c>
      <c r="C458" s="854" t="s">
        <v>3112</v>
      </c>
      <c r="D458" s="854" t="s">
        <v>744</v>
      </c>
      <c r="E458" s="854" t="s">
        <v>3154</v>
      </c>
      <c r="F458" s="856">
        <v>50</v>
      </c>
    </row>
    <row r="459" spans="1:6" ht="15" customHeight="1" thickBot="1" x14ac:dyDescent="0.45">
      <c r="A459" s="854" t="s">
        <v>576</v>
      </c>
      <c r="B459" s="855">
        <v>43822</v>
      </c>
      <c r="C459" s="854" t="s">
        <v>3113</v>
      </c>
      <c r="D459" s="854" t="s">
        <v>2230</v>
      </c>
      <c r="E459" s="854" t="s">
        <v>2244</v>
      </c>
      <c r="F459" s="857">
        <v>26.8</v>
      </c>
    </row>
    <row r="460" spans="1:6" ht="15" customHeight="1" thickBot="1" x14ac:dyDescent="0.45">
      <c r="A460" s="854"/>
      <c r="B460" s="855"/>
      <c r="C460" s="854"/>
      <c r="D460" s="854"/>
      <c r="E460" s="854"/>
      <c r="F460" s="858">
        <f>ROUND(SUM(F3:F459),5)</f>
        <v>104314.62</v>
      </c>
    </row>
    <row r="461" spans="1:6" ht="15" customHeight="1" thickBot="1" x14ac:dyDescent="0.45">
      <c r="A461" s="854"/>
      <c r="B461" s="855"/>
      <c r="C461" s="854"/>
      <c r="D461" s="854"/>
      <c r="E461" s="854"/>
      <c r="F461" s="858">
        <f>F460</f>
        <v>104314.62</v>
      </c>
    </row>
    <row r="462" spans="1:6" ht="15" customHeight="1" thickBot="1" x14ac:dyDescent="0.45">
      <c r="A462" s="854"/>
      <c r="B462" s="855"/>
      <c r="C462" s="854"/>
      <c r="D462" s="854"/>
      <c r="E462" s="854"/>
      <c r="F462" s="859">
        <f>F461</f>
        <v>104314.62</v>
      </c>
    </row>
    <row r="463" spans="1:6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4:03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152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1528" r:id="rId4" name="HEADER"/>
      </mc:Fallback>
    </mc:AlternateContent>
    <mc:AlternateContent xmlns:mc="http://schemas.openxmlformats.org/markup-compatibility/2006">
      <mc:Choice Requires="x14">
        <control shapeId="2152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1527" r:id="rId6" name="FILTER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F44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E1" sqref="E1"/>
    </sheetView>
  </sheetViews>
  <sheetFormatPr defaultColWidth="14.3828125" defaultRowHeight="15" customHeight="1" x14ac:dyDescent="0.4"/>
  <cols>
    <col min="1" max="1" width="5.3046875" style="861" bestFit="1" customWidth="1"/>
    <col min="2" max="2" width="10.69140625" style="861" bestFit="1" customWidth="1"/>
    <col min="3" max="3" width="11.3828125" style="861" bestFit="1" customWidth="1"/>
    <col min="4" max="4" width="25.15234375" style="861" bestFit="1" customWidth="1"/>
    <col min="5" max="5" width="30.69140625" style="861" customWidth="1"/>
    <col min="6" max="6" width="9.15234375" style="861" bestFit="1" customWidth="1"/>
  </cols>
  <sheetData>
    <row r="1" spans="1:6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43466</v>
      </c>
      <c r="C4" s="854" t="s">
        <v>842</v>
      </c>
      <c r="D4" s="854" t="s">
        <v>597</v>
      </c>
      <c r="E4" s="854" t="s">
        <v>852</v>
      </c>
      <c r="F4" s="856">
        <v>1168.6199999999999</v>
      </c>
    </row>
    <row r="5" spans="1:6" ht="14.6" x14ac:dyDescent="0.4">
      <c r="A5" s="854" t="s">
        <v>576</v>
      </c>
      <c r="B5" s="855">
        <v>43467</v>
      </c>
      <c r="C5" s="854" t="s">
        <v>843</v>
      </c>
      <c r="D5" s="854" t="s">
        <v>849</v>
      </c>
      <c r="E5" s="854" t="s">
        <v>853</v>
      </c>
      <c r="F5" s="856">
        <v>1292</v>
      </c>
    </row>
    <row r="6" spans="1:6" ht="14.6" x14ac:dyDescent="0.4">
      <c r="A6" s="854" t="s">
        <v>576</v>
      </c>
      <c r="B6" s="855">
        <v>43472</v>
      </c>
      <c r="C6" s="854" t="s">
        <v>844</v>
      </c>
      <c r="D6" s="854" t="s">
        <v>850</v>
      </c>
      <c r="E6" s="854" t="s">
        <v>854</v>
      </c>
      <c r="F6" s="856">
        <v>345</v>
      </c>
    </row>
    <row r="7" spans="1:6" ht="14.6" x14ac:dyDescent="0.4">
      <c r="A7" s="854" t="s">
        <v>576</v>
      </c>
      <c r="B7" s="855">
        <v>43479</v>
      </c>
      <c r="C7" s="854" t="s">
        <v>845</v>
      </c>
      <c r="D7" s="854" t="s">
        <v>849</v>
      </c>
      <c r="E7" s="854" t="s">
        <v>853</v>
      </c>
      <c r="F7" s="856">
        <v>1292</v>
      </c>
    </row>
    <row r="8" spans="1:6" ht="14.6" x14ac:dyDescent="0.4">
      <c r="A8" s="854" t="s">
        <v>576</v>
      </c>
      <c r="B8" s="855">
        <v>43493</v>
      </c>
      <c r="C8" s="854" t="s">
        <v>846</v>
      </c>
      <c r="D8" s="854" t="s">
        <v>851</v>
      </c>
      <c r="E8" s="854" t="s">
        <v>855</v>
      </c>
      <c r="F8" s="856">
        <v>1209.81</v>
      </c>
    </row>
    <row r="9" spans="1:6" ht="14.6" x14ac:dyDescent="0.4">
      <c r="A9" s="854" t="s">
        <v>576</v>
      </c>
      <c r="B9" s="855">
        <v>43503</v>
      </c>
      <c r="C9" s="854" t="s">
        <v>847</v>
      </c>
      <c r="D9" s="854" t="s">
        <v>850</v>
      </c>
      <c r="E9" s="854" t="s">
        <v>854</v>
      </c>
      <c r="F9" s="856">
        <v>345</v>
      </c>
    </row>
    <row r="10" spans="1:6" ht="14.6" x14ac:dyDescent="0.4">
      <c r="A10" s="854" t="s">
        <v>576</v>
      </c>
      <c r="B10" s="855">
        <v>43507</v>
      </c>
      <c r="C10" s="854" t="s">
        <v>848</v>
      </c>
      <c r="D10" s="854" t="s">
        <v>849</v>
      </c>
      <c r="E10" s="854" t="s">
        <v>853</v>
      </c>
      <c r="F10" s="856">
        <v>1292</v>
      </c>
    </row>
    <row r="11" spans="1:6" ht="14.6" x14ac:dyDescent="0.4">
      <c r="A11" s="854" t="s">
        <v>576</v>
      </c>
      <c r="B11" s="855">
        <v>43535</v>
      </c>
      <c r="C11" s="854" t="s">
        <v>1280</v>
      </c>
      <c r="D11" s="854" t="s">
        <v>850</v>
      </c>
      <c r="E11" s="854" t="s">
        <v>854</v>
      </c>
      <c r="F11" s="856">
        <v>345</v>
      </c>
    </row>
    <row r="12" spans="1:6" ht="14.6" x14ac:dyDescent="0.4">
      <c r="A12" s="854" t="s">
        <v>576</v>
      </c>
      <c r="B12" s="855">
        <v>43535</v>
      </c>
      <c r="C12" s="854" t="s">
        <v>1280</v>
      </c>
      <c r="D12" s="854" t="s">
        <v>850</v>
      </c>
      <c r="E12" s="854" t="s">
        <v>1284</v>
      </c>
      <c r="F12" s="856">
        <v>27.47</v>
      </c>
    </row>
    <row r="13" spans="1:6" ht="14.6" x14ac:dyDescent="0.4">
      <c r="A13" s="854" t="s">
        <v>576</v>
      </c>
      <c r="B13" s="855">
        <v>43536</v>
      </c>
      <c r="C13" s="854" t="s">
        <v>1281</v>
      </c>
      <c r="D13" s="854" t="s">
        <v>597</v>
      </c>
      <c r="E13" s="854" t="s">
        <v>852</v>
      </c>
      <c r="F13" s="856">
        <v>1168.6199999999999</v>
      </c>
    </row>
    <row r="14" spans="1:6" ht="14.6" x14ac:dyDescent="0.4">
      <c r="A14" s="854" t="s">
        <v>576</v>
      </c>
      <c r="B14" s="855">
        <v>43537</v>
      </c>
      <c r="C14" s="854" t="s">
        <v>1282</v>
      </c>
      <c r="D14" s="854" t="s">
        <v>849</v>
      </c>
      <c r="E14" s="854" t="s">
        <v>853</v>
      </c>
      <c r="F14" s="856">
        <v>1292</v>
      </c>
    </row>
    <row r="15" spans="1:6" ht="14.6" x14ac:dyDescent="0.4">
      <c r="A15" s="854" t="s">
        <v>576</v>
      </c>
      <c r="B15" s="855">
        <v>43563</v>
      </c>
      <c r="C15" s="854" t="s">
        <v>1283</v>
      </c>
      <c r="D15" s="854" t="s">
        <v>850</v>
      </c>
      <c r="E15" s="854" t="s">
        <v>854</v>
      </c>
      <c r="F15" s="856">
        <v>345</v>
      </c>
    </row>
    <row r="16" spans="1:6" ht="14.6" x14ac:dyDescent="0.4">
      <c r="A16" s="854" t="s">
        <v>576</v>
      </c>
      <c r="B16" s="855">
        <v>43567</v>
      </c>
      <c r="C16" s="854" t="s">
        <v>1494</v>
      </c>
      <c r="D16" s="854" t="s">
        <v>849</v>
      </c>
      <c r="E16" s="854" t="s">
        <v>853</v>
      </c>
      <c r="F16" s="856">
        <v>1292</v>
      </c>
    </row>
    <row r="17" spans="1:6" ht="14.6" x14ac:dyDescent="0.4">
      <c r="A17" s="854" t="s">
        <v>576</v>
      </c>
      <c r="B17" s="855">
        <v>43585</v>
      </c>
      <c r="C17" s="854" t="s">
        <v>1606</v>
      </c>
      <c r="D17" s="854" t="s">
        <v>851</v>
      </c>
      <c r="E17" s="854" t="s">
        <v>855</v>
      </c>
      <c r="F17" s="856">
        <v>1209.81</v>
      </c>
    </row>
    <row r="18" spans="1:6" ht="14.6" x14ac:dyDescent="0.4">
      <c r="A18" s="854" t="s">
        <v>576</v>
      </c>
      <c r="B18" s="855">
        <v>43592</v>
      </c>
      <c r="C18" s="854" t="s">
        <v>1607</v>
      </c>
      <c r="D18" s="854" t="s">
        <v>850</v>
      </c>
      <c r="E18" s="854" t="s">
        <v>854</v>
      </c>
      <c r="F18" s="856">
        <v>345</v>
      </c>
    </row>
    <row r="19" spans="1:6" ht="14.6" x14ac:dyDescent="0.4">
      <c r="A19" s="854" t="s">
        <v>576</v>
      </c>
      <c r="B19" s="855">
        <v>43598</v>
      </c>
      <c r="C19" s="854" t="s">
        <v>1777</v>
      </c>
      <c r="D19" s="854" t="s">
        <v>849</v>
      </c>
      <c r="E19" s="854" t="s">
        <v>853</v>
      </c>
      <c r="F19" s="856">
        <v>1292</v>
      </c>
    </row>
    <row r="20" spans="1:6" ht="14.6" x14ac:dyDescent="0.4">
      <c r="A20" s="854" t="s">
        <v>576</v>
      </c>
      <c r="B20" s="855">
        <v>43616</v>
      </c>
      <c r="C20" s="854" t="s">
        <v>1973</v>
      </c>
      <c r="D20" s="854" t="s">
        <v>850</v>
      </c>
      <c r="E20" s="854" t="s">
        <v>854</v>
      </c>
      <c r="F20" s="856">
        <v>345</v>
      </c>
    </row>
    <row r="21" spans="1:6" ht="14.6" x14ac:dyDescent="0.4">
      <c r="A21" s="854" t="s">
        <v>576</v>
      </c>
      <c r="B21" s="855">
        <v>43616</v>
      </c>
      <c r="C21" s="854" t="s">
        <v>1973</v>
      </c>
      <c r="D21" s="854" t="s">
        <v>850</v>
      </c>
      <c r="E21" s="854" t="s">
        <v>1284</v>
      </c>
      <c r="F21" s="856">
        <v>681.09</v>
      </c>
    </row>
    <row r="22" spans="1:6" ht="14.6" x14ac:dyDescent="0.4">
      <c r="A22" s="854" t="s">
        <v>576</v>
      </c>
      <c r="B22" s="855">
        <v>43627</v>
      </c>
      <c r="C22" s="854" t="s">
        <v>1778</v>
      </c>
      <c r="D22" s="854" t="s">
        <v>597</v>
      </c>
      <c r="E22" s="854" t="s">
        <v>852</v>
      </c>
      <c r="F22" s="856">
        <v>1168.6199999999999</v>
      </c>
    </row>
    <row r="23" spans="1:6" ht="14.6" x14ac:dyDescent="0.4">
      <c r="A23" s="854" t="s">
        <v>576</v>
      </c>
      <c r="B23" s="855">
        <v>43628</v>
      </c>
      <c r="C23" s="854" t="s">
        <v>1779</v>
      </c>
      <c r="D23" s="854" t="s">
        <v>849</v>
      </c>
      <c r="E23" s="854" t="s">
        <v>853</v>
      </c>
      <c r="F23" s="856">
        <v>1292</v>
      </c>
    </row>
    <row r="24" spans="1:6" ht="14.6" x14ac:dyDescent="0.4">
      <c r="A24" s="854" t="s">
        <v>576</v>
      </c>
      <c r="B24" s="855">
        <v>43654</v>
      </c>
      <c r="C24" s="854" t="s">
        <v>1974</v>
      </c>
      <c r="D24" s="854" t="s">
        <v>850</v>
      </c>
      <c r="E24" s="854" t="s">
        <v>854</v>
      </c>
      <c r="F24" s="856">
        <v>345</v>
      </c>
    </row>
    <row r="25" spans="1:6" ht="14.6" x14ac:dyDescent="0.4">
      <c r="A25" s="854" t="s">
        <v>576</v>
      </c>
      <c r="B25" s="855">
        <v>43668</v>
      </c>
      <c r="C25" s="854" t="s">
        <v>1975</v>
      </c>
      <c r="D25" s="854" t="s">
        <v>849</v>
      </c>
      <c r="E25" s="854" t="s">
        <v>853</v>
      </c>
      <c r="F25" s="856">
        <v>1292</v>
      </c>
    </row>
    <row r="26" spans="1:6" ht="14.6" x14ac:dyDescent="0.4">
      <c r="A26" s="854" t="s">
        <v>576</v>
      </c>
      <c r="B26" s="855">
        <v>43677</v>
      </c>
      <c r="C26" s="854" t="s">
        <v>2336</v>
      </c>
      <c r="D26" s="854" t="s">
        <v>851</v>
      </c>
      <c r="E26" s="854" t="s">
        <v>855</v>
      </c>
      <c r="F26" s="856">
        <v>1209.81</v>
      </c>
    </row>
    <row r="27" spans="1:6" ht="14.6" x14ac:dyDescent="0.4">
      <c r="A27" s="854" t="s">
        <v>576</v>
      </c>
      <c r="B27" s="855">
        <v>43684</v>
      </c>
      <c r="C27" s="854" t="s">
        <v>2337</v>
      </c>
      <c r="D27" s="854" t="s">
        <v>850</v>
      </c>
      <c r="E27" s="854" t="s">
        <v>854</v>
      </c>
      <c r="F27" s="856">
        <v>345</v>
      </c>
    </row>
    <row r="28" spans="1:6" ht="14.6" x14ac:dyDescent="0.4">
      <c r="A28" s="854" t="s">
        <v>576</v>
      </c>
      <c r="B28" s="855">
        <v>43690</v>
      </c>
      <c r="C28" s="854" t="s">
        <v>2338</v>
      </c>
      <c r="D28" s="854" t="s">
        <v>849</v>
      </c>
      <c r="E28" s="854" t="s">
        <v>853</v>
      </c>
      <c r="F28" s="856">
        <v>1292</v>
      </c>
    </row>
    <row r="29" spans="1:6" ht="14.6" x14ac:dyDescent="0.4">
      <c r="A29" s="854" t="s">
        <v>576</v>
      </c>
      <c r="B29" s="855">
        <v>43717</v>
      </c>
      <c r="C29" s="854" t="s">
        <v>2339</v>
      </c>
      <c r="D29" s="854" t="s">
        <v>850</v>
      </c>
      <c r="E29" s="854" t="s">
        <v>854</v>
      </c>
      <c r="F29" s="856">
        <v>345</v>
      </c>
    </row>
    <row r="30" spans="1:6" ht="14.6" x14ac:dyDescent="0.4">
      <c r="A30" s="854" t="s">
        <v>576</v>
      </c>
      <c r="B30" s="855">
        <v>43717</v>
      </c>
      <c r="C30" s="854" t="s">
        <v>2339</v>
      </c>
      <c r="D30" s="854" t="s">
        <v>850</v>
      </c>
      <c r="E30" s="854" t="s">
        <v>1284</v>
      </c>
      <c r="F30" s="856">
        <v>170.65</v>
      </c>
    </row>
    <row r="31" spans="1:6" ht="14.6" x14ac:dyDescent="0.4">
      <c r="A31" s="854" t="s">
        <v>576</v>
      </c>
      <c r="B31" s="855">
        <v>43719</v>
      </c>
      <c r="C31" s="854" t="s">
        <v>2340</v>
      </c>
      <c r="D31" s="854" t="s">
        <v>597</v>
      </c>
      <c r="E31" s="854" t="s">
        <v>852</v>
      </c>
      <c r="F31" s="856">
        <v>1168.6199999999999</v>
      </c>
    </row>
    <row r="32" spans="1:6" ht="14.6" x14ac:dyDescent="0.4">
      <c r="A32" s="854" t="s">
        <v>576</v>
      </c>
      <c r="B32" s="855">
        <v>43720</v>
      </c>
      <c r="C32" s="854" t="s">
        <v>2632</v>
      </c>
      <c r="D32" s="854" t="s">
        <v>849</v>
      </c>
      <c r="E32" s="854" t="s">
        <v>853</v>
      </c>
      <c r="F32" s="856">
        <v>1292</v>
      </c>
    </row>
    <row r="33" spans="1:6" ht="14.6" x14ac:dyDescent="0.4">
      <c r="A33" s="854" t="s">
        <v>576</v>
      </c>
      <c r="B33" s="855">
        <v>43745</v>
      </c>
      <c r="C33" s="854" t="s">
        <v>2633</v>
      </c>
      <c r="D33" s="854" t="s">
        <v>850</v>
      </c>
      <c r="E33" s="854" t="s">
        <v>854</v>
      </c>
      <c r="F33" s="856">
        <v>345</v>
      </c>
    </row>
    <row r="34" spans="1:6" ht="14.6" x14ac:dyDescent="0.4">
      <c r="A34" s="854" t="s">
        <v>576</v>
      </c>
      <c r="B34" s="855">
        <v>43752</v>
      </c>
      <c r="C34" s="854" t="s">
        <v>2634</v>
      </c>
      <c r="D34" s="854" t="s">
        <v>849</v>
      </c>
      <c r="E34" s="854" t="s">
        <v>853</v>
      </c>
      <c r="F34" s="856">
        <v>1292</v>
      </c>
    </row>
    <row r="35" spans="1:6" ht="14.6" x14ac:dyDescent="0.4">
      <c r="A35" s="854" t="s">
        <v>576</v>
      </c>
      <c r="B35" s="855">
        <v>43768</v>
      </c>
      <c r="C35" s="854" t="s">
        <v>2920</v>
      </c>
      <c r="D35" s="854" t="s">
        <v>851</v>
      </c>
      <c r="E35" s="854" t="s">
        <v>855</v>
      </c>
      <c r="F35" s="856">
        <v>1209.81</v>
      </c>
    </row>
    <row r="36" spans="1:6" ht="14.6" x14ac:dyDescent="0.4">
      <c r="A36" s="854" t="s">
        <v>576</v>
      </c>
      <c r="B36" s="855">
        <v>43776</v>
      </c>
      <c r="C36" s="854" t="s">
        <v>2921</v>
      </c>
      <c r="D36" s="854" t="s">
        <v>850</v>
      </c>
      <c r="E36" s="854" t="s">
        <v>854</v>
      </c>
      <c r="F36" s="856">
        <v>345</v>
      </c>
    </row>
    <row r="37" spans="1:6" ht="14.6" x14ac:dyDescent="0.4">
      <c r="A37" s="854" t="s">
        <v>576</v>
      </c>
      <c r="B37" s="855">
        <v>43781</v>
      </c>
      <c r="C37" s="854" t="s">
        <v>2922</v>
      </c>
      <c r="D37" s="854" t="s">
        <v>849</v>
      </c>
      <c r="E37" s="854" t="s">
        <v>853</v>
      </c>
      <c r="F37" s="856">
        <v>1292</v>
      </c>
    </row>
    <row r="38" spans="1:6" ht="14.6" x14ac:dyDescent="0.4">
      <c r="A38" s="854" t="s">
        <v>576</v>
      </c>
      <c r="B38" s="855">
        <v>43808</v>
      </c>
      <c r="C38" s="854" t="s">
        <v>3155</v>
      </c>
      <c r="D38" s="854" t="s">
        <v>850</v>
      </c>
      <c r="E38" s="854" t="s">
        <v>854</v>
      </c>
      <c r="F38" s="856">
        <v>369.57</v>
      </c>
    </row>
    <row r="39" spans="1:6" ht="14.6" x14ac:dyDescent="0.4">
      <c r="A39" s="854" t="s">
        <v>576</v>
      </c>
      <c r="B39" s="855">
        <v>43811</v>
      </c>
      <c r="C39" s="854" t="s">
        <v>3156</v>
      </c>
      <c r="D39" s="854" t="s">
        <v>597</v>
      </c>
      <c r="E39" s="854" t="s">
        <v>852</v>
      </c>
      <c r="F39" s="856">
        <v>1168.6199999999999</v>
      </c>
    </row>
    <row r="40" spans="1:6" thickBot="1" x14ac:dyDescent="0.45">
      <c r="A40" s="854" t="s">
        <v>576</v>
      </c>
      <c r="B40" s="855">
        <v>43812</v>
      </c>
      <c r="C40" s="854" t="s">
        <v>3157</v>
      </c>
      <c r="D40" s="854" t="s">
        <v>849</v>
      </c>
      <c r="E40" s="854" t="s">
        <v>853</v>
      </c>
      <c r="F40" s="857">
        <v>1292</v>
      </c>
    </row>
    <row r="41" spans="1:6" thickBot="1" x14ac:dyDescent="0.45">
      <c r="A41" s="854"/>
      <c r="B41" s="855"/>
      <c r="C41" s="854"/>
      <c r="D41" s="854"/>
      <c r="E41" s="854"/>
      <c r="F41" s="858">
        <f>ROUND(SUM(F3:F40),5)</f>
        <v>32522.12</v>
      </c>
    </row>
    <row r="42" spans="1:6" ht="15" customHeight="1" thickBot="1" x14ac:dyDescent="0.45">
      <c r="A42" s="854"/>
      <c r="B42" s="855"/>
      <c r="C42" s="854"/>
      <c r="D42" s="854"/>
      <c r="E42" s="854"/>
      <c r="F42" s="858">
        <f>F41</f>
        <v>32522.12</v>
      </c>
    </row>
    <row r="43" spans="1:6" ht="15" customHeight="1" thickBot="1" x14ac:dyDescent="0.45">
      <c r="A43" s="854"/>
      <c r="B43" s="855"/>
      <c r="C43" s="854"/>
      <c r="D43" s="854"/>
      <c r="E43" s="854"/>
      <c r="F43" s="859">
        <f>F42</f>
        <v>32522.12</v>
      </c>
    </row>
    <row r="44" spans="1:6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4:07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254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22548" r:id="rId4" name="HEADER"/>
      </mc:Fallback>
    </mc:AlternateContent>
    <mc:AlternateContent xmlns:mc="http://schemas.openxmlformats.org/markup-compatibility/2006">
      <mc:Choice Requires="x14">
        <control shapeId="2254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22547" r:id="rId6" name="FILTER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F158"/>
  <sheetViews>
    <sheetView workbookViewId="0">
      <pane xSplit="1" ySplit="1" topLeftCell="B128" activePane="bottomRight" state="frozenSplit"/>
      <selection pane="topRight" activeCell="D1" sqref="D1"/>
      <selection pane="bottomLeft" activeCell="A2" sqref="A2"/>
      <selection pane="bottomRight" activeCell="E133" sqref="E133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21.3828125" style="861" bestFit="1" customWidth="1"/>
    <col min="4" max="4" width="23.84375" style="861" bestFit="1" customWidth="1"/>
    <col min="5" max="5" width="30.69140625" style="861" customWidth="1"/>
    <col min="6" max="6" width="10.15234375" style="861" bestFit="1" customWidth="1"/>
  </cols>
  <sheetData>
    <row r="1" spans="1:6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43466</v>
      </c>
      <c r="C4" s="854" t="s">
        <v>856</v>
      </c>
      <c r="D4" s="854" t="s">
        <v>881</v>
      </c>
      <c r="E4" s="854" t="s">
        <v>888</v>
      </c>
      <c r="F4" s="856">
        <v>296.19</v>
      </c>
    </row>
    <row r="5" spans="1:6" ht="14.6" x14ac:dyDescent="0.4">
      <c r="A5" s="854" t="s">
        <v>576</v>
      </c>
      <c r="B5" s="855">
        <v>43466</v>
      </c>
      <c r="C5" s="854" t="s">
        <v>857</v>
      </c>
      <c r="D5" s="854" t="s">
        <v>881</v>
      </c>
      <c r="E5" s="854" t="s">
        <v>888</v>
      </c>
      <c r="F5" s="856">
        <v>843.02</v>
      </c>
    </row>
    <row r="6" spans="1:6" ht="14.6" x14ac:dyDescent="0.4">
      <c r="A6" s="854" t="s">
        <v>576</v>
      </c>
      <c r="B6" s="855">
        <v>43466</v>
      </c>
      <c r="C6" s="854" t="s">
        <v>858</v>
      </c>
      <c r="D6" s="854" t="s">
        <v>882</v>
      </c>
      <c r="E6" s="854" t="s">
        <v>889</v>
      </c>
      <c r="F6" s="856">
        <v>4663.13</v>
      </c>
    </row>
    <row r="7" spans="1:6" ht="14.6" x14ac:dyDescent="0.4">
      <c r="A7" s="854" t="s">
        <v>576</v>
      </c>
      <c r="B7" s="855">
        <v>43466</v>
      </c>
      <c r="C7" s="854" t="s">
        <v>859</v>
      </c>
      <c r="D7" s="854" t="s">
        <v>882</v>
      </c>
      <c r="E7" s="854" t="s">
        <v>890</v>
      </c>
      <c r="F7" s="856">
        <v>237.64</v>
      </c>
    </row>
    <row r="8" spans="1:6" ht="14.6" x14ac:dyDescent="0.4">
      <c r="A8" s="854" t="s">
        <v>576</v>
      </c>
      <c r="B8" s="855">
        <v>43466</v>
      </c>
      <c r="C8" s="854" t="s">
        <v>860</v>
      </c>
      <c r="D8" s="854" t="s">
        <v>883</v>
      </c>
      <c r="E8" s="854" t="s">
        <v>891</v>
      </c>
      <c r="F8" s="856">
        <v>404.68</v>
      </c>
    </row>
    <row r="9" spans="1:6" ht="14.6" x14ac:dyDescent="0.4">
      <c r="A9" s="854" t="s">
        <v>576</v>
      </c>
      <c r="B9" s="855">
        <v>43466</v>
      </c>
      <c r="C9" s="854" t="s">
        <v>861</v>
      </c>
      <c r="D9" s="854" t="s">
        <v>513</v>
      </c>
      <c r="E9" s="854" t="s">
        <v>892</v>
      </c>
      <c r="F9" s="856">
        <v>250</v>
      </c>
    </row>
    <row r="10" spans="1:6" ht="14.6" x14ac:dyDescent="0.4">
      <c r="A10" s="854" t="s">
        <v>576</v>
      </c>
      <c r="B10" s="855">
        <v>43466</v>
      </c>
      <c r="C10" s="854" t="s">
        <v>861</v>
      </c>
      <c r="D10" s="854" t="s">
        <v>513</v>
      </c>
      <c r="E10" s="854" t="s">
        <v>893</v>
      </c>
      <c r="F10" s="856">
        <v>28.23</v>
      </c>
    </row>
    <row r="11" spans="1:6" ht="14.6" x14ac:dyDescent="0.4">
      <c r="A11" s="854" t="s">
        <v>576</v>
      </c>
      <c r="B11" s="855">
        <v>43466</v>
      </c>
      <c r="C11" s="854" t="s">
        <v>861</v>
      </c>
      <c r="D11" s="854" t="s">
        <v>513</v>
      </c>
      <c r="E11" s="854" t="s">
        <v>894</v>
      </c>
      <c r="F11" s="856">
        <v>1100</v>
      </c>
    </row>
    <row r="12" spans="1:6" ht="14.6" x14ac:dyDescent="0.4">
      <c r="A12" s="854" t="s">
        <v>576</v>
      </c>
      <c r="B12" s="855">
        <v>43466</v>
      </c>
      <c r="C12" s="854" t="s">
        <v>862</v>
      </c>
      <c r="D12" s="854" t="s">
        <v>513</v>
      </c>
      <c r="E12" s="854" t="s">
        <v>895</v>
      </c>
      <c r="F12" s="856">
        <v>875</v>
      </c>
    </row>
    <row r="13" spans="1:6" ht="14.6" x14ac:dyDescent="0.4">
      <c r="A13" s="854" t="s">
        <v>576</v>
      </c>
      <c r="B13" s="855">
        <v>43467</v>
      </c>
      <c r="C13" s="854" t="s">
        <v>863</v>
      </c>
      <c r="D13" s="854" t="s">
        <v>513</v>
      </c>
      <c r="E13" s="854" t="s">
        <v>895</v>
      </c>
      <c r="F13" s="856">
        <v>875</v>
      </c>
    </row>
    <row r="14" spans="1:6" ht="14.6" x14ac:dyDescent="0.4">
      <c r="A14" s="854" t="s">
        <v>576</v>
      </c>
      <c r="B14" s="855">
        <v>43469</v>
      </c>
      <c r="C14" s="854" t="s">
        <v>864</v>
      </c>
      <c r="D14" s="854" t="s">
        <v>881</v>
      </c>
      <c r="E14" s="854" t="s">
        <v>888</v>
      </c>
      <c r="F14" s="856">
        <v>113.33</v>
      </c>
    </row>
    <row r="15" spans="1:6" ht="14.6" x14ac:dyDescent="0.4">
      <c r="A15" s="854" t="s">
        <v>576</v>
      </c>
      <c r="B15" s="855">
        <v>43472</v>
      </c>
      <c r="C15" s="854" t="s">
        <v>865</v>
      </c>
      <c r="D15" s="854" t="s">
        <v>884</v>
      </c>
      <c r="E15" s="854" t="s">
        <v>896</v>
      </c>
      <c r="F15" s="856">
        <v>4823.8900000000003</v>
      </c>
    </row>
    <row r="16" spans="1:6" ht="14.6" x14ac:dyDescent="0.4">
      <c r="A16" s="854" t="s">
        <v>576</v>
      </c>
      <c r="B16" s="855">
        <v>43475</v>
      </c>
      <c r="C16" s="854" t="s">
        <v>866</v>
      </c>
      <c r="D16" s="854" t="s">
        <v>885</v>
      </c>
      <c r="E16" s="854" t="s">
        <v>897</v>
      </c>
      <c r="F16" s="856">
        <v>75.98</v>
      </c>
    </row>
    <row r="17" spans="1:6" ht="14.6" x14ac:dyDescent="0.4">
      <c r="A17" s="854" t="s">
        <v>576</v>
      </c>
      <c r="B17" s="855">
        <v>43484</v>
      </c>
      <c r="C17" s="854" t="s">
        <v>867</v>
      </c>
      <c r="D17" s="854" t="s">
        <v>881</v>
      </c>
      <c r="E17" s="854" t="s">
        <v>888</v>
      </c>
      <c r="F17" s="856">
        <v>296.08999999999997</v>
      </c>
    </row>
    <row r="18" spans="1:6" ht="14.6" x14ac:dyDescent="0.4">
      <c r="A18" s="854" t="s">
        <v>576</v>
      </c>
      <c r="B18" s="855">
        <v>43484</v>
      </c>
      <c r="C18" s="854" t="s">
        <v>868</v>
      </c>
      <c r="D18" s="854" t="s">
        <v>886</v>
      </c>
      <c r="E18" s="854" t="s">
        <v>898</v>
      </c>
      <c r="F18" s="856">
        <v>1735.72</v>
      </c>
    </row>
    <row r="19" spans="1:6" ht="14.6" x14ac:dyDescent="0.4">
      <c r="A19" s="854" t="s">
        <v>576</v>
      </c>
      <c r="B19" s="855">
        <v>43485</v>
      </c>
      <c r="C19" s="854" t="s">
        <v>869</v>
      </c>
      <c r="D19" s="854" t="s">
        <v>513</v>
      </c>
      <c r="E19" s="854" t="s">
        <v>895</v>
      </c>
      <c r="F19" s="856">
        <v>875</v>
      </c>
    </row>
    <row r="20" spans="1:6" ht="14.6" x14ac:dyDescent="0.4">
      <c r="A20" s="854" t="s">
        <v>576</v>
      </c>
      <c r="B20" s="855">
        <v>43487</v>
      </c>
      <c r="C20" s="854" t="s">
        <v>870</v>
      </c>
      <c r="D20" s="854" t="s">
        <v>883</v>
      </c>
      <c r="E20" s="854" t="s">
        <v>891</v>
      </c>
      <c r="F20" s="856">
        <v>409.59</v>
      </c>
    </row>
    <row r="21" spans="1:6" ht="14.6" x14ac:dyDescent="0.4">
      <c r="A21" s="854" t="s">
        <v>576</v>
      </c>
      <c r="B21" s="855">
        <v>43493</v>
      </c>
      <c r="C21" s="854" t="s">
        <v>724</v>
      </c>
      <c r="D21" s="854" t="s">
        <v>881</v>
      </c>
      <c r="E21" s="854" t="s">
        <v>888</v>
      </c>
      <c r="F21" s="856">
        <v>842.95</v>
      </c>
    </row>
    <row r="22" spans="1:6" ht="14.6" x14ac:dyDescent="0.4">
      <c r="A22" s="854" t="s">
        <v>576</v>
      </c>
      <c r="B22" s="855">
        <v>43496</v>
      </c>
      <c r="C22" s="854" t="s">
        <v>872</v>
      </c>
      <c r="D22" s="854" t="s">
        <v>882</v>
      </c>
      <c r="E22" s="854" t="s">
        <v>889</v>
      </c>
      <c r="F22" s="856">
        <v>5046.82</v>
      </c>
    </row>
    <row r="23" spans="1:6" ht="14.6" x14ac:dyDescent="0.4">
      <c r="A23" s="854" t="s">
        <v>576</v>
      </c>
      <c r="B23" s="855">
        <v>43496</v>
      </c>
      <c r="C23" s="854" t="s">
        <v>867</v>
      </c>
      <c r="D23" s="854" t="s">
        <v>882</v>
      </c>
      <c r="E23" s="854" t="s">
        <v>890</v>
      </c>
      <c r="F23" s="856">
        <v>237.64</v>
      </c>
    </row>
    <row r="24" spans="1:6" ht="14.6" x14ac:dyDescent="0.4">
      <c r="A24" s="854" t="s">
        <v>576</v>
      </c>
      <c r="B24" s="855">
        <v>43497</v>
      </c>
      <c r="C24" s="854" t="s">
        <v>873</v>
      </c>
      <c r="D24" s="854" t="s">
        <v>884</v>
      </c>
      <c r="E24" s="854" t="s">
        <v>896</v>
      </c>
      <c r="F24" s="856">
        <v>2275.85</v>
      </c>
    </row>
    <row r="25" spans="1:6" ht="14.6" x14ac:dyDescent="0.4">
      <c r="A25" s="854" t="s">
        <v>576</v>
      </c>
      <c r="B25" s="855">
        <v>43500</v>
      </c>
      <c r="C25" s="854" t="s">
        <v>874</v>
      </c>
      <c r="D25" s="854" t="s">
        <v>887</v>
      </c>
      <c r="E25" s="854" t="s">
        <v>900</v>
      </c>
      <c r="F25" s="856">
        <v>198.59</v>
      </c>
    </row>
    <row r="26" spans="1:6" ht="14.6" x14ac:dyDescent="0.4">
      <c r="A26" s="854" t="s">
        <v>576</v>
      </c>
      <c r="B26" s="855">
        <v>43500</v>
      </c>
      <c r="C26" s="854" t="s">
        <v>729</v>
      </c>
      <c r="D26" s="854" t="s">
        <v>881</v>
      </c>
      <c r="E26" s="854" t="s">
        <v>888</v>
      </c>
      <c r="F26" s="856">
        <v>113.33</v>
      </c>
    </row>
    <row r="27" spans="1:6" ht="14.6" x14ac:dyDescent="0.4">
      <c r="A27" s="854" t="s">
        <v>576</v>
      </c>
      <c r="B27" s="855">
        <v>43506</v>
      </c>
      <c r="C27" s="854" t="s">
        <v>875</v>
      </c>
      <c r="D27" s="854" t="s">
        <v>885</v>
      </c>
      <c r="E27" s="854" t="s">
        <v>897</v>
      </c>
      <c r="F27" s="856">
        <v>75.98</v>
      </c>
    </row>
    <row r="28" spans="1:6" ht="14.6" x14ac:dyDescent="0.4">
      <c r="A28" s="854" t="s">
        <v>576</v>
      </c>
      <c r="B28" s="855">
        <v>43514</v>
      </c>
      <c r="C28" s="854" t="s">
        <v>876</v>
      </c>
      <c r="D28" s="854" t="s">
        <v>883</v>
      </c>
      <c r="E28" s="854" t="s">
        <v>891</v>
      </c>
      <c r="F28" s="856">
        <v>409.59</v>
      </c>
    </row>
    <row r="29" spans="1:6" ht="14.6" x14ac:dyDescent="0.4">
      <c r="A29" s="854" t="s">
        <v>576</v>
      </c>
      <c r="B29" s="855">
        <v>43515</v>
      </c>
      <c r="C29" s="854" t="s">
        <v>877</v>
      </c>
      <c r="D29" s="854" t="s">
        <v>886</v>
      </c>
      <c r="E29" s="854" t="s">
        <v>898</v>
      </c>
      <c r="F29" s="856">
        <v>1820.24</v>
      </c>
    </row>
    <row r="30" spans="1:6" ht="14.6" x14ac:dyDescent="0.4">
      <c r="A30" s="854" t="s">
        <v>576</v>
      </c>
      <c r="B30" s="855">
        <v>43515</v>
      </c>
      <c r="C30" s="854" t="s">
        <v>878</v>
      </c>
      <c r="D30" s="854" t="s">
        <v>881</v>
      </c>
      <c r="E30" s="854" t="s">
        <v>888</v>
      </c>
      <c r="F30" s="856">
        <v>296.08999999999997</v>
      </c>
    </row>
    <row r="31" spans="1:6" ht="14.6" x14ac:dyDescent="0.4">
      <c r="A31" s="854" t="s">
        <v>576</v>
      </c>
      <c r="B31" s="855">
        <v>43516</v>
      </c>
      <c r="C31" s="854" t="s">
        <v>879</v>
      </c>
      <c r="D31" s="854" t="s">
        <v>513</v>
      </c>
      <c r="E31" s="854" t="s">
        <v>895</v>
      </c>
      <c r="F31" s="856">
        <v>875</v>
      </c>
    </row>
    <row r="32" spans="1:6" ht="14.6" x14ac:dyDescent="0.4">
      <c r="A32" s="854" t="s">
        <v>576</v>
      </c>
      <c r="B32" s="855">
        <v>43524</v>
      </c>
      <c r="C32" s="854" t="s">
        <v>880</v>
      </c>
      <c r="D32" s="854" t="s">
        <v>881</v>
      </c>
      <c r="E32" s="854" t="s">
        <v>888</v>
      </c>
      <c r="F32" s="856">
        <v>842.95</v>
      </c>
    </row>
    <row r="33" spans="1:6" ht="14.6" x14ac:dyDescent="0.4">
      <c r="A33" s="854" t="s">
        <v>576</v>
      </c>
      <c r="B33" s="855">
        <v>43525</v>
      </c>
      <c r="C33" s="854" t="s">
        <v>1285</v>
      </c>
      <c r="D33" s="854" t="s">
        <v>884</v>
      </c>
      <c r="E33" s="854" t="s">
        <v>896</v>
      </c>
      <c r="F33" s="856">
        <v>2275.85</v>
      </c>
    </row>
    <row r="34" spans="1:6" ht="14.6" x14ac:dyDescent="0.4">
      <c r="A34" s="854" t="s">
        <v>576</v>
      </c>
      <c r="B34" s="855">
        <v>43529</v>
      </c>
      <c r="C34" s="854" t="s">
        <v>1286</v>
      </c>
      <c r="D34" s="854" t="s">
        <v>882</v>
      </c>
      <c r="E34" s="854" t="s">
        <v>889</v>
      </c>
      <c r="F34" s="856">
        <v>5323.47</v>
      </c>
    </row>
    <row r="35" spans="1:6" ht="14.6" x14ac:dyDescent="0.4">
      <c r="A35" s="854" t="s">
        <v>576</v>
      </c>
      <c r="B35" s="855">
        <v>43529</v>
      </c>
      <c r="C35" s="854" t="s">
        <v>878</v>
      </c>
      <c r="D35" s="854" t="s">
        <v>882</v>
      </c>
      <c r="E35" s="854" t="s">
        <v>890</v>
      </c>
      <c r="F35" s="856">
        <v>237.64</v>
      </c>
    </row>
    <row r="36" spans="1:6" ht="14.6" x14ac:dyDescent="0.4">
      <c r="A36" s="854" t="s">
        <v>576</v>
      </c>
      <c r="B36" s="855">
        <v>43534</v>
      </c>
      <c r="C36" s="854" t="s">
        <v>1287</v>
      </c>
      <c r="D36" s="854" t="s">
        <v>885</v>
      </c>
      <c r="E36" s="854" t="s">
        <v>897</v>
      </c>
      <c r="F36" s="856">
        <v>75.98</v>
      </c>
    </row>
    <row r="37" spans="1:6" ht="14.6" x14ac:dyDescent="0.4">
      <c r="A37" s="854" t="s">
        <v>576</v>
      </c>
      <c r="B37" s="855">
        <v>43539</v>
      </c>
      <c r="C37" s="854" t="s">
        <v>1288</v>
      </c>
      <c r="D37" s="854" t="s">
        <v>887</v>
      </c>
      <c r="E37" s="854" t="s">
        <v>1299</v>
      </c>
      <c r="F37" s="856">
        <v>154.93</v>
      </c>
    </row>
    <row r="38" spans="1:6" ht="14.6" x14ac:dyDescent="0.4">
      <c r="A38" s="854" t="s">
        <v>576</v>
      </c>
      <c r="B38" s="855">
        <v>43543</v>
      </c>
      <c r="C38" s="854" t="s">
        <v>1289</v>
      </c>
      <c r="D38" s="854" t="s">
        <v>881</v>
      </c>
      <c r="E38" s="854" t="s">
        <v>888</v>
      </c>
      <c r="F38" s="856">
        <v>296.08999999999997</v>
      </c>
    </row>
    <row r="39" spans="1:6" ht="14.6" x14ac:dyDescent="0.4">
      <c r="A39" s="854" t="s">
        <v>576</v>
      </c>
      <c r="B39" s="855">
        <v>43543</v>
      </c>
      <c r="C39" s="854" t="s">
        <v>1290</v>
      </c>
      <c r="D39" s="854" t="s">
        <v>886</v>
      </c>
      <c r="E39" s="854" t="s">
        <v>898</v>
      </c>
      <c r="F39" s="856">
        <v>633.58000000000004</v>
      </c>
    </row>
    <row r="40" spans="1:6" ht="14.6" x14ac:dyDescent="0.4">
      <c r="A40" s="854" t="s">
        <v>576</v>
      </c>
      <c r="B40" s="855">
        <v>43544</v>
      </c>
      <c r="C40" s="854" t="s">
        <v>1291</v>
      </c>
      <c r="D40" s="854" t="s">
        <v>513</v>
      </c>
      <c r="E40" s="854" t="s">
        <v>895</v>
      </c>
      <c r="F40" s="856">
        <v>875</v>
      </c>
    </row>
    <row r="41" spans="1:6" ht="14.6" x14ac:dyDescent="0.4">
      <c r="A41" s="854" t="s">
        <v>576</v>
      </c>
      <c r="B41" s="855">
        <v>43547</v>
      </c>
      <c r="C41" s="854" t="s">
        <v>1292</v>
      </c>
      <c r="D41" s="854" t="s">
        <v>884</v>
      </c>
      <c r="E41" s="854" t="s">
        <v>896</v>
      </c>
      <c r="F41" s="856">
        <v>2579.59</v>
      </c>
    </row>
    <row r="42" spans="1:6" ht="14.6" x14ac:dyDescent="0.4">
      <c r="A42" s="854" t="s">
        <v>576</v>
      </c>
      <c r="B42" s="855">
        <v>43547</v>
      </c>
      <c r="C42" s="854" t="s">
        <v>1293</v>
      </c>
      <c r="D42" s="854" t="s">
        <v>884</v>
      </c>
      <c r="E42" s="854" t="s">
        <v>896</v>
      </c>
      <c r="F42" s="856">
        <v>795.75</v>
      </c>
    </row>
    <row r="43" spans="1:6" ht="14.6" x14ac:dyDescent="0.4">
      <c r="A43" s="854" t="s">
        <v>576</v>
      </c>
      <c r="B43" s="855">
        <v>43550</v>
      </c>
      <c r="C43" s="854" t="s">
        <v>1294</v>
      </c>
      <c r="D43" s="854" t="s">
        <v>883</v>
      </c>
      <c r="E43" s="854" t="s">
        <v>891</v>
      </c>
      <c r="F43" s="856">
        <v>409.59</v>
      </c>
    </row>
    <row r="44" spans="1:6" ht="14.6" x14ac:dyDescent="0.4">
      <c r="A44" s="854" t="s">
        <v>576</v>
      </c>
      <c r="B44" s="855">
        <v>43552</v>
      </c>
      <c r="C44" s="854" t="s">
        <v>1295</v>
      </c>
      <c r="D44" s="854" t="s">
        <v>881</v>
      </c>
      <c r="E44" s="854" t="s">
        <v>888</v>
      </c>
      <c r="F44" s="856">
        <v>113.33</v>
      </c>
    </row>
    <row r="45" spans="1:6" ht="14.6" x14ac:dyDescent="0.4">
      <c r="A45" s="854" t="s">
        <v>576</v>
      </c>
      <c r="B45" s="855">
        <v>43552</v>
      </c>
      <c r="C45" s="854" t="s">
        <v>1295</v>
      </c>
      <c r="D45" s="854" t="s">
        <v>881</v>
      </c>
      <c r="E45" s="854" t="s">
        <v>888</v>
      </c>
      <c r="F45" s="856">
        <v>842.95</v>
      </c>
    </row>
    <row r="46" spans="1:6" ht="14.6" x14ac:dyDescent="0.4">
      <c r="A46" s="854" t="s">
        <v>576</v>
      </c>
      <c r="B46" s="855">
        <v>43556</v>
      </c>
      <c r="C46" s="854" t="s">
        <v>1296</v>
      </c>
      <c r="D46" s="854" t="s">
        <v>887</v>
      </c>
      <c r="E46" s="854" t="s">
        <v>1300</v>
      </c>
      <c r="F46" s="856">
        <v>174.58</v>
      </c>
    </row>
    <row r="47" spans="1:6" ht="14.6" x14ac:dyDescent="0.4">
      <c r="A47" s="854" t="s">
        <v>576</v>
      </c>
      <c r="B47" s="855">
        <v>43559</v>
      </c>
      <c r="C47" s="854" t="s">
        <v>1297</v>
      </c>
      <c r="D47" s="854" t="s">
        <v>881</v>
      </c>
      <c r="E47" s="854" t="s">
        <v>888</v>
      </c>
      <c r="F47" s="856">
        <v>113.03</v>
      </c>
    </row>
    <row r="48" spans="1:6" ht="14.6" x14ac:dyDescent="0.4">
      <c r="A48" s="854" t="s">
        <v>576</v>
      </c>
      <c r="B48" s="855">
        <v>43560</v>
      </c>
      <c r="C48" s="854" t="s">
        <v>1298</v>
      </c>
      <c r="D48" s="854" t="s">
        <v>882</v>
      </c>
      <c r="E48" s="854" t="s">
        <v>889</v>
      </c>
      <c r="F48" s="856">
        <v>5687.39</v>
      </c>
    </row>
    <row r="49" spans="1:6" ht="14.6" x14ac:dyDescent="0.4">
      <c r="A49" s="854" t="s">
        <v>576</v>
      </c>
      <c r="B49" s="855">
        <v>43560</v>
      </c>
      <c r="C49" s="854" t="s">
        <v>1289</v>
      </c>
      <c r="D49" s="854" t="s">
        <v>882</v>
      </c>
      <c r="E49" s="854" t="s">
        <v>890</v>
      </c>
      <c r="F49" s="856">
        <v>237.64</v>
      </c>
    </row>
    <row r="50" spans="1:6" ht="14.6" x14ac:dyDescent="0.4">
      <c r="A50" s="854" t="s">
        <v>576</v>
      </c>
      <c r="B50" s="855">
        <v>43565</v>
      </c>
      <c r="C50" s="854" t="s">
        <v>1495</v>
      </c>
      <c r="D50" s="854" t="s">
        <v>884</v>
      </c>
      <c r="E50" s="854" t="s">
        <v>896</v>
      </c>
      <c r="F50" s="856">
        <v>2265.7199999999998</v>
      </c>
    </row>
    <row r="51" spans="1:6" ht="14.6" x14ac:dyDescent="0.4">
      <c r="A51" s="854" t="s">
        <v>576</v>
      </c>
      <c r="B51" s="855">
        <v>43565</v>
      </c>
      <c r="C51" s="854" t="s">
        <v>1608</v>
      </c>
      <c r="D51" s="854" t="s">
        <v>885</v>
      </c>
      <c r="E51" s="854" t="s">
        <v>897</v>
      </c>
      <c r="F51" s="856">
        <v>151.96</v>
      </c>
    </row>
    <row r="52" spans="1:6" ht="14.6" x14ac:dyDescent="0.4">
      <c r="A52" s="854" t="s">
        <v>576</v>
      </c>
      <c r="B52" s="855">
        <v>43573</v>
      </c>
      <c r="C52" s="854" t="s">
        <v>1496</v>
      </c>
      <c r="D52" s="854" t="s">
        <v>883</v>
      </c>
      <c r="E52" s="854" t="s">
        <v>891</v>
      </c>
      <c r="F52" s="856">
        <v>409.59</v>
      </c>
    </row>
    <row r="53" spans="1:6" ht="14.6" x14ac:dyDescent="0.4">
      <c r="A53" s="854" t="s">
        <v>576</v>
      </c>
      <c r="B53" s="855">
        <v>43574</v>
      </c>
      <c r="C53" s="854" t="s">
        <v>1497</v>
      </c>
      <c r="D53" s="854" t="s">
        <v>886</v>
      </c>
      <c r="E53" s="854" t="s">
        <v>898</v>
      </c>
      <c r="F53" s="856">
        <v>390.97</v>
      </c>
    </row>
    <row r="54" spans="1:6" ht="14.6" x14ac:dyDescent="0.4">
      <c r="A54" s="854" t="s">
        <v>576</v>
      </c>
      <c r="B54" s="855">
        <v>43574</v>
      </c>
      <c r="C54" s="854" t="s">
        <v>1498</v>
      </c>
      <c r="D54" s="854" t="s">
        <v>881</v>
      </c>
      <c r="E54" s="854" t="s">
        <v>888</v>
      </c>
      <c r="F54" s="856">
        <v>297.11</v>
      </c>
    </row>
    <row r="55" spans="1:6" ht="14.6" x14ac:dyDescent="0.4">
      <c r="A55" s="854" t="s">
        <v>576</v>
      </c>
      <c r="B55" s="855">
        <v>43575</v>
      </c>
      <c r="C55" s="854" t="s">
        <v>1499</v>
      </c>
      <c r="D55" s="854" t="s">
        <v>513</v>
      </c>
      <c r="E55" s="854" t="s">
        <v>895</v>
      </c>
      <c r="F55" s="856">
        <v>875</v>
      </c>
    </row>
    <row r="56" spans="1:6" ht="14.6" x14ac:dyDescent="0.4">
      <c r="A56" s="854" t="s">
        <v>576</v>
      </c>
      <c r="B56" s="855">
        <v>43583</v>
      </c>
      <c r="C56" s="854" t="s">
        <v>1609</v>
      </c>
      <c r="D56" s="854" t="s">
        <v>881</v>
      </c>
      <c r="E56" s="854" t="s">
        <v>888</v>
      </c>
      <c r="F56" s="856">
        <v>842.13</v>
      </c>
    </row>
    <row r="57" spans="1:6" ht="14.6" x14ac:dyDescent="0.4">
      <c r="A57" s="854" t="s">
        <v>576</v>
      </c>
      <c r="B57" s="855">
        <v>43586</v>
      </c>
      <c r="C57" s="854" t="s">
        <v>1610</v>
      </c>
      <c r="D57" s="854" t="s">
        <v>887</v>
      </c>
      <c r="E57" s="854" t="s">
        <v>1616</v>
      </c>
      <c r="F57" s="856">
        <v>136.38999999999999</v>
      </c>
    </row>
    <row r="58" spans="1:6" ht="14.6" x14ac:dyDescent="0.4">
      <c r="A58" s="854" t="s">
        <v>576</v>
      </c>
      <c r="B58" s="855">
        <v>43586</v>
      </c>
      <c r="C58" s="854" t="s">
        <v>1611</v>
      </c>
      <c r="D58" s="854" t="s">
        <v>882</v>
      </c>
      <c r="E58" s="854" t="s">
        <v>889</v>
      </c>
      <c r="F58" s="856">
        <v>6595.1</v>
      </c>
    </row>
    <row r="59" spans="1:6" ht="14.6" x14ac:dyDescent="0.4">
      <c r="A59" s="854" t="s">
        <v>576</v>
      </c>
      <c r="B59" s="855">
        <v>43586</v>
      </c>
      <c r="C59" s="854" t="s">
        <v>1612</v>
      </c>
      <c r="D59" s="854" t="s">
        <v>882</v>
      </c>
      <c r="E59" s="854" t="s">
        <v>890</v>
      </c>
      <c r="F59" s="856">
        <v>237.64</v>
      </c>
    </row>
    <row r="60" spans="1:6" ht="14.6" x14ac:dyDescent="0.4">
      <c r="A60" s="854" t="s">
        <v>576</v>
      </c>
      <c r="B60" s="855">
        <v>43589</v>
      </c>
      <c r="C60" s="854" t="s">
        <v>1613</v>
      </c>
      <c r="D60" s="854" t="s">
        <v>881</v>
      </c>
      <c r="E60" s="854" t="s">
        <v>888</v>
      </c>
      <c r="F60" s="856">
        <v>113.03</v>
      </c>
    </row>
    <row r="61" spans="1:6" ht="14.6" x14ac:dyDescent="0.4">
      <c r="A61" s="854" t="s">
        <v>576</v>
      </c>
      <c r="B61" s="855">
        <v>43592</v>
      </c>
      <c r="C61" s="854" t="s">
        <v>1614</v>
      </c>
      <c r="D61" s="854" t="s">
        <v>884</v>
      </c>
      <c r="E61" s="854" t="s">
        <v>896</v>
      </c>
      <c r="F61" s="856">
        <v>834.44</v>
      </c>
    </row>
    <row r="62" spans="1:6" ht="14.6" x14ac:dyDescent="0.4">
      <c r="A62" s="854" t="s">
        <v>576</v>
      </c>
      <c r="B62" s="855">
        <v>43592</v>
      </c>
      <c r="C62" s="854" t="s">
        <v>1615</v>
      </c>
      <c r="D62" s="854" t="s">
        <v>884</v>
      </c>
      <c r="E62" s="854" t="s">
        <v>896</v>
      </c>
      <c r="F62" s="856">
        <v>2299.6999999999998</v>
      </c>
    </row>
    <row r="63" spans="1:6" ht="14.6" x14ac:dyDescent="0.4">
      <c r="A63" s="854" t="s">
        <v>576</v>
      </c>
      <c r="B63" s="855">
        <v>43595</v>
      </c>
      <c r="C63" s="854" t="s">
        <v>1780</v>
      </c>
      <c r="D63" s="854" t="s">
        <v>885</v>
      </c>
      <c r="E63" s="854" t="s">
        <v>897</v>
      </c>
      <c r="F63" s="856">
        <v>75.98</v>
      </c>
    </row>
    <row r="64" spans="1:6" ht="14.6" x14ac:dyDescent="0.4">
      <c r="A64" s="854" t="s">
        <v>576</v>
      </c>
      <c r="B64" s="855">
        <v>43604</v>
      </c>
      <c r="C64" s="854" t="s">
        <v>1781</v>
      </c>
      <c r="D64" s="854" t="s">
        <v>886</v>
      </c>
      <c r="E64" s="854" t="s">
        <v>898</v>
      </c>
      <c r="F64" s="856">
        <v>517.32000000000005</v>
      </c>
    </row>
    <row r="65" spans="1:6" ht="14.6" x14ac:dyDescent="0.4">
      <c r="A65" s="854" t="s">
        <v>576</v>
      </c>
      <c r="B65" s="855">
        <v>43604</v>
      </c>
      <c r="C65" s="854" t="s">
        <v>1782</v>
      </c>
      <c r="D65" s="854" t="s">
        <v>881</v>
      </c>
      <c r="E65" s="854" t="s">
        <v>888</v>
      </c>
      <c r="F65" s="856">
        <v>294.70999999999998</v>
      </c>
    </row>
    <row r="66" spans="1:6" ht="14.6" x14ac:dyDescent="0.4">
      <c r="A66" s="854" t="s">
        <v>576</v>
      </c>
      <c r="B66" s="855">
        <v>43606</v>
      </c>
      <c r="C66" s="854" t="s">
        <v>1783</v>
      </c>
      <c r="D66" s="854" t="s">
        <v>513</v>
      </c>
      <c r="E66" s="854" t="s">
        <v>895</v>
      </c>
      <c r="F66" s="856">
        <v>875</v>
      </c>
    </row>
    <row r="67" spans="1:6" ht="14.6" x14ac:dyDescent="0.4">
      <c r="A67" s="854" t="s">
        <v>576</v>
      </c>
      <c r="B67" s="855">
        <v>43611</v>
      </c>
      <c r="C67" s="854" t="s">
        <v>1784</v>
      </c>
      <c r="D67" s="854" t="s">
        <v>883</v>
      </c>
      <c r="E67" s="854" t="s">
        <v>891</v>
      </c>
      <c r="F67" s="856">
        <v>415.14</v>
      </c>
    </row>
    <row r="68" spans="1:6" ht="14.6" x14ac:dyDescent="0.4">
      <c r="A68" s="854" t="s">
        <v>576</v>
      </c>
      <c r="B68" s="855">
        <v>43613</v>
      </c>
      <c r="C68" s="854" t="s">
        <v>1785</v>
      </c>
      <c r="D68" s="854" t="s">
        <v>881</v>
      </c>
      <c r="E68" s="854" t="s">
        <v>888</v>
      </c>
      <c r="F68" s="856">
        <v>842.13</v>
      </c>
    </row>
    <row r="69" spans="1:6" ht="14.6" x14ac:dyDescent="0.4">
      <c r="A69" s="854" t="s">
        <v>576</v>
      </c>
      <c r="B69" s="855">
        <v>43616</v>
      </c>
      <c r="C69" s="854" t="s">
        <v>1786</v>
      </c>
      <c r="D69" s="854" t="s">
        <v>882</v>
      </c>
      <c r="E69" s="854" t="s">
        <v>889</v>
      </c>
      <c r="F69" s="856">
        <v>6330.81</v>
      </c>
    </row>
    <row r="70" spans="1:6" ht="14.6" x14ac:dyDescent="0.4">
      <c r="A70" s="854" t="s">
        <v>576</v>
      </c>
      <c r="B70" s="855">
        <v>43616</v>
      </c>
      <c r="C70" s="854" t="s">
        <v>1787</v>
      </c>
      <c r="D70" s="854" t="s">
        <v>882</v>
      </c>
      <c r="E70" s="854" t="s">
        <v>890</v>
      </c>
      <c r="F70" s="856">
        <v>237.64</v>
      </c>
    </row>
    <row r="71" spans="1:6" ht="14.6" x14ac:dyDescent="0.4">
      <c r="A71" s="854" t="s">
        <v>576</v>
      </c>
      <c r="B71" s="855">
        <v>43616</v>
      </c>
      <c r="C71" s="854" t="s">
        <v>1788</v>
      </c>
      <c r="D71" s="854" t="s">
        <v>887</v>
      </c>
      <c r="E71" s="854" t="s">
        <v>1795</v>
      </c>
      <c r="F71" s="856">
        <v>188.15</v>
      </c>
    </row>
    <row r="72" spans="1:6" ht="14.6" x14ac:dyDescent="0.4">
      <c r="A72" s="854" t="s">
        <v>576</v>
      </c>
      <c r="B72" s="855">
        <v>43620</v>
      </c>
      <c r="C72" s="854" t="s">
        <v>1789</v>
      </c>
      <c r="D72" s="854" t="s">
        <v>881</v>
      </c>
      <c r="E72" s="854" t="s">
        <v>888</v>
      </c>
      <c r="F72" s="856">
        <v>113.03</v>
      </c>
    </row>
    <row r="73" spans="1:6" ht="14.6" x14ac:dyDescent="0.4">
      <c r="A73" s="854" t="s">
        <v>576</v>
      </c>
      <c r="B73" s="855">
        <v>43623</v>
      </c>
      <c r="C73" s="854" t="s">
        <v>1790</v>
      </c>
      <c r="D73" s="854" t="s">
        <v>884</v>
      </c>
      <c r="E73" s="854" t="s">
        <v>896</v>
      </c>
      <c r="F73" s="856">
        <v>795.75</v>
      </c>
    </row>
    <row r="74" spans="1:6" ht="14.6" x14ac:dyDescent="0.4">
      <c r="A74" s="854" t="s">
        <v>576</v>
      </c>
      <c r="B74" s="855">
        <v>43626</v>
      </c>
      <c r="C74" s="854" t="s">
        <v>1791</v>
      </c>
      <c r="D74" s="854" t="s">
        <v>884</v>
      </c>
      <c r="E74" s="854" t="s">
        <v>896</v>
      </c>
      <c r="F74" s="856">
        <v>2229.42</v>
      </c>
    </row>
    <row r="75" spans="1:6" ht="14.6" x14ac:dyDescent="0.4">
      <c r="A75" s="854" t="s">
        <v>576</v>
      </c>
      <c r="B75" s="855">
        <v>43629</v>
      </c>
      <c r="C75" s="854" t="s">
        <v>1792</v>
      </c>
      <c r="D75" s="854" t="s">
        <v>513</v>
      </c>
      <c r="E75" s="854" t="s">
        <v>1796</v>
      </c>
      <c r="F75" s="856">
        <v>1220</v>
      </c>
    </row>
    <row r="76" spans="1:6" ht="14.6" x14ac:dyDescent="0.4">
      <c r="A76" s="854" t="s">
        <v>576</v>
      </c>
      <c r="B76" s="855">
        <v>43634</v>
      </c>
      <c r="C76" s="854" t="s">
        <v>1793</v>
      </c>
      <c r="D76" s="854" t="s">
        <v>883</v>
      </c>
      <c r="E76" s="854" t="s">
        <v>891</v>
      </c>
      <c r="F76" s="856">
        <v>414.91</v>
      </c>
    </row>
    <row r="77" spans="1:6" ht="14.6" x14ac:dyDescent="0.4">
      <c r="A77" s="854" t="s">
        <v>576</v>
      </c>
      <c r="B77" s="855">
        <v>43635</v>
      </c>
      <c r="C77" s="854" t="s">
        <v>1794</v>
      </c>
      <c r="D77" s="854" t="s">
        <v>881</v>
      </c>
      <c r="E77" s="854" t="s">
        <v>888</v>
      </c>
      <c r="F77" s="856">
        <v>294.70999999999998</v>
      </c>
    </row>
    <row r="78" spans="1:6" ht="14.6" x14ac:dyDescent="0.4">
      <c r="A78" s="854" t="s">
        <v>576</v>
      </c>
      <c r="B78" s="855">
        <v>43635</v>
      </c>
      <c r="C78" s="854" t="s">
        <v>1976</v>
      </c>
      <c r="D78" s="854" t="s">
        <v>886</v>
      </c>
      <c r="E78" s="854" t="s">
        <v>898</v>
      </c>
      <c r="F78" s="856">
        <v>349.36</v>
      </c>
    </row>
    <row r="79" spans="1:6" ht="14.6" x14ac:dyDescent="0.4">
      <c r="A79" s="854" t="s">
        <v>576</v>
      </c>
      <c r="B79" s="855">
        <v>43636</v>
      </c>
      <c r="C79" s="854" t="s">
        <v>1977</v>
      </c>
      <c r="D79" s="854" t="s">
        <v>513</v>
      </c>
      <c r="E79" s="854" t="s">
        <v>895</v>
      </c>
      <c r="F79" s="856">
        <v>1465</v>
      </c>
    </row>
    <row r="80" spans="1:6" ht="14.6" x14ac:dyDescent="0.4">
      <c r="A80" s="854" t="s">
        <v>576</v>
      </c>
      <c r="B80" s="855">
        <v>43644</v>
      </c>
      <c r="C80" s="854" t="s">
        <v>1978</v>
      </c>
      <c r="D80" s="854" t="s">
        <v>881</v>
      </c>
      <c r="E80" s="854" t="s">
        <v>888</v>
      </c>
      <c r="F80" s="856">
        <v>842.13</v>
      </c>
    </row>
    <row r="81" spans="1:6" ht="14.6" x14ac:dyDescent="0.4">
      <c r="A81" s="854" t="s">
        <v>576</v>
      </c>
      <c r="B81" s="855">
        <v>43647</v>
      </c>
      <c r="C81" s="854" t="s">
        <v>1979</v>
      </c>
      <c r="D81" s="854" t="s">
        <v>887</v>
      </c>
      <c r="E81" s="854" t="s">
        <v>1985</v>
      </c>
      <c r="F81" s="856">
        <v>167.01</v>
      </c>
    </row>
    <row r="82" spans="1:6" ht="14.6" x14ac:dyDescent="0.4">
      <c r="A82" s="854" t="s">
        <v>576</v>
      </c>
      <c r="B82" s="855">
        <v>43648</v>
      </c>
      <c r="C82" s="854" t="s">
        <v>1794</v>
      </c>
      <c r="D82" s="854" t="s">
        <v>882</v>
      </c>
      <c r="E82" s="854" t="s">
        <v>889</v>
      </c>
      <c r="F82" s="856">
        <v>8041.19</v>
      </c>
    </row>
    <row r="83" spans="1:6" ht="14.6" x14ac:dyDescent="0.4">
      <c r="A83" s="854" t="s">
        <v>576</v>
      </c>
      <c r="B83" s="855">
        <v>43648</v>
      </c>
      <c r="C83" s="854" t="s">
        <v>1980</v>
      </c>
      <c r="D83" s="854" t="s">
        <v>882</v>
      </c>
      <c r="E83" s="854" t="s">
        <v>890</v>
      </c>
      <c r="F83" s="856">
        <v>237.64</v>
      </c>
    </row>
    <row r="84" spans="1:6" ht="14.6" x14ac:dyDescent="0.4">
      <c r="A84" s="854" t="s">
        <v>576</v>
      </c>
      <c r="B84" s="855">
        <v>43650</v>
      </c>
      <c r="C84" s="854" t="s">
        <v>1981</v>
      </c>
      <c r="D84" s="854" t="s">
        <v>881</v>
      </c>
      <c r="E84" s="854" t="s">
        <v>888</v>
      </c>
      <c r="F84" s="856">
        <v>114.43</v>
      </c>
    </row>
    <row r="85" spans="1:6" ht="14.6" x14ac:dyDescent="0.4">
      <c r="A85" s="854" t="s">
        <v>576</v>
      </c>
      <c r="B85" s="855">
        <v>43653</v>
      </c>
      <c r="C85" s="854" t="s">
        <v>1982</v>
      </c>
      <c r="D85" s="854" t="s">
        <v>884</v>
      </c>
      <c r="E85" s="854" t="s">
        <v>896</v>
      </c>
      <c r="F85" s="856">
        <v>795.75</v>
      </c>
    </row>
    <row r="86" spans="1:6" ht="14.6" x14ac:dyDescent="0.4">
      <c r="A86" s="854" t="s">
        <v>576</v>
      </c>
      <c r="B86" s="855">
        <v>43656</v>
      </c>
      <c r="C86" s="854" t="s">
        <v>1983</v>
      </c>
      <c r="D86" s="854" t="s">
        <v>884</v>
      </c>
      <c r="E86" s="854" t="s">
        <v>896</v>
      </c>
      <c r="F86" s="856">
        <v>2313</v>
      </c>
    </row>
    <row r="87" spans="1:6" ht="14.6" x14ac:dyDescent="0.4">
      <c r="A87" s="854" t="s">
        <v>576</v>
      </c>
      <c r="B87" s="855">
        <v>43665</v>
      </c>
      <c r="C87" s="854" t="s">
        <v>2341</v>
      </c>
      <c r="D87" s="854" t="s">
        <v>881</v>
      </c>
      <c r="E87" s="854" t="s">
        <v>888</v>
      </c>
      <c r="F87" s="856">
        <v>304.93</v>
      </c>
    </row>
    <row r="88" spans="1:6" ht="14.6" x14ac:dyDescent="0.4">
      <c r="A88" s="854" t="s">
        <v>576</v>
      </c>
      <c r="B88" s="855">
        <v>43665</v>
      </c>
      <c r="C88" s="854" t="s">
        <v>2342</v>
      </c>
      <c r="D88" s="854" t="s">
        <v>886</v>
      </c>
      <c r="E88" s="854" t="s">
        <v>898</v>
      </c>
      <c r="F88" s="856">
        <v>353.06</v>
      </c>
    </row>
    <row r="89" spans="1:6" ht="14.6" x14ac:dyDescent="0.4">
      <c r="A89" s="854" t="s">
        <v>576</v>
      </c>
      <c r="B89" s="855">
        <v>43666</v>
      </c>
      <c r="C89" s="854" t="s">
        <v>1984</v>
      </c>
      <c r="D89" s="854" t="s">
        <v>513</v>
      </c>
      <c r="E89" s="854" t="s">
        <v>895</v>
      </c>
      <c r="F89" s="856">
        <v>1465</v>
      </c>
    </row>
    <row r="90" spans="1:6" ht="14.6" x14ac:dyDescent="0.4">
      <c r="A90" s="854" t="s">
        <v>576</v>
      </c>
      <c r="B90" s="855">
        <v>43671</v>
      </c>
      <c r="C90" s="854" t="s">
        <v>2343</v>
      </c>
      <c r="D90" s="854" t="s">
        <v>883</v>
      </c>
      <c r="E90" s="854" t="s">
        <v>891</v>
      </c>
      <c r="F90" s="856">
        <v>414.91</v>
      </c>
    </row>
    <row r="91" spans="1:6" ht="14.6" x14ac:dyDescent="0.4">
      <c r="A91" s="854" t="s">
        <v>576</v>
      </c>
      <c r="B91" s="855">
        <v>43674</v>
      </c>
      <c r="C91" s="854" t="s">
        <v>2344</v>
      </c>
      <c r="D91" s="854" t="s">
        <v>881</v>
      </c>
      <c r="E91" s="854" t="s">
        <v>888</v>
      </c>
      <c r="F91" s="856">
        <v>849.99</v>
      </c>
    </row>
    <row r="92" spans="1:6" ht="14.6" x14ac:dyDescent="0.4">
      <c r="A92" s="854" t="s">
        <v>576</v>
      </c>
      <c r="B92" s="855">
        <v>43677</v>
      </c>
      <c r="C92" s="854" t="s">
        <v>2345</v>
      </c>
      <c r="D92" s="854" t="s">
        <v>882</v>
      </c>
      <c r="E92" s="854" t="s">
        <v>890</v>
      </c>
      <c r="F92" s="856">
        <v>237.64</v>
      </c>
    </row>
    <row r="93" spans="1:6" ht="14.6" x14ac:dyDescent="0.4">
      <c r="A93" s="854" t="s">
        <v>576</v>
      </c>
      <c r="B93" s="855">
        <v>43677</v>
      </c>
      <c r="C93" s="854" t="s">
        <v>2346</v>
      </c>
      <c r="D93" s="854" t="s">
        <v>882</v>
      </c>
      <c r="E93" s="854" t="s">
        <v>889</v>
      </c>
      <c r="F93" s="856">
        <v>8860.6</v>
      </c>
    </row>
    <row r="94" spans="1:6" ht="14.6" x14ac:dyDescent="0.4">
      <c r="A94" s="854" t="s">
        <v>576</v>
      </c>
      <c r="B94" s="855">
        <v>43677</v>
      </c>
      <c r="C94" s="854" t="s">
        <v>2347</v>
      </c>
      <c r="D94" s="854" t="s">
        <v>887</v>
      </c>
      <c r="E94" s="854" t="s">
        <v>2361</v>
      </c>
      <c r="F94" s="856">
        <v>138.15</v>
      </c>
    </row>
    <row r="95" spans="1:6" ht="14.6" x14ac:dyDescent="0.4">
      <c r="A95" s="854" t="s">
        <v>576</v>
      </c>
      <c r="B95" s="855">
        <v>43679</v>
      </c>
      <c r="C95" s="854" t="s">
        <v>2348</v>
      </c>
      <c r="D95" s="854" t="s">
        <v>885</v>
      </c>
      <c r="E95" s="854" t="s">
        <v>897</v>
      </c>
      <c r="F95" s="856">
        <v>75.98</v>
      </c>
    </row>
    <row r="96" spans="1:6" ht="14.6" x14ac:dyDescent="0.4">
      <c r="A96" s="854" t="s">
        <v>576</v>
      </c>
      <c r="B96" s="855">
        <v>43681</v>
      </c>
      <c r="C96" s="854" t="s">
        <v>2349</v>
      </c>
      <c r="D96" s="854" t="s">
        <v>881</v>
      </c>
      <c r="E96" s="854" t="s">
        <v>888</v>
      </c>
      <c r="F96" s="856">
        <v>115.69</v>
      </c>
    </row>
    <row r="97" spans="1:6" ht="14.6" x14ac:dyDescent="0.4">
      <c r="A97" s="854" t="s">
        <v>576</v>
      </c>
      <c r="B97" s="855">
        <v>43684</v>
      </c>
      <c r="C97" s="854" t="s">
        <v>2350</v>
      </c>
      <c r="D97" s="854" t="s">
        <v>884</v>
      </c>
      <c r="E97" s="854" t="s">
        <v>896</v>
      </c>
      <c r="F97" s="856">
        <v>795.75</v>
      </c>
    </row>
    <row r="98" spans="1:6" ht="14.6" x14ac:dyDescent="0.4">
      <c r="A98" s="854" t="s">
        <v>576</v>
      </c>
      <c r="B98" s="855">
        <v>43687</v>
      </c>
      <c r="C98" s="854" t="s">
        <v>2351</v>
      </c>
      <c r="D98" s="854" t="s">
        <v>884</v>
      </c>
      <c r="E98" s="854" t="s">
        <v>896</v>
      </c>
      <c r="F98" s="856">
        <v>2313</v>
      </c>
    </row>
    <row r="99" spans="1:6" ht="14.6" x14ac:dyDescent="0.4">
      <c r="A99" s="854" t="s">
        <v>576</v>
      </c>
      <c r="B99" s="855">
        <v>43696</v>
      </c>
      <c r="C99" s="854" t="s">
        <v>2204</v>
      </c>
      <c r="D99" s="854" t="s">
        <v>881</v>
      </c>
      <c r="E99" s="854" t="s">
        <v>888</v>
      </c>
      <c r="F99" s="856">
        <v>304.93</v>
      </c>
    </row>
    <row r="100" spans="1:6" ht="14.6" x14ac:dyDescent="0.4">
      <c r="A100" s="854" t="s">
        <v>576</v>
      </c>
      <c r="B100" s="855">
        <v>43696</v>
      </c>
      <c r="C100" s="854" t="s">
        <v>2352</v>
      </c>
      <c r="D100" s="854" t="s">
        <v>886</v>
      </c>
      <c r="E100" s="854" t="s">
        <v>898</v>
      </c>
      <c r="F100" s="856">
        <v>640.92999999999995</v>
      </c>
    </row>
    <row r="101" spans="1:6" ht="14.6" x14ac:dyDescent="0.4">
      <c r="A101" s="854" t="s">
        <v>576</v>
      </c>
      <c r="B101" s="855">
        <v>43697</v>
      </c>
      <c r="C101" s="854" t="s">
        <v>2353</v>
      </c>
      <c r="D101" s="854" t="s">
        <v>513</v>
      </c>
      <c r="E101" s="854" t="s">
        <v>895</v>
      </c>
      <c r="F101" s="856">
        <v>1465</v>
      </c>
    </row>
    <row r="102" spans="1:6" ht="14.6" x14ac:dyDescent="0.4">
      <c r="A102" s="854" t="s">
        <v>576</v>
      </c>
      <c r="B102" s="855">
        <v>43702</v>
      </c>
      <c r="C102" s="854" t="s">
        <v>2354</v>
      </c>
      <c r="D102" s="854" t="s">
        <v>883</v>
      </c>
      <c r="E102" s="854" t="s">
        <v>891</v>
      </c>
      <c r="F102" s="856">
        <v>414.91</v>
      </c>
    </row>
    <row r="103" spans="1:6" ht="14.6" x14ac:dyDescent="0.4">
      <c r="A103" s="854" t="s">
        <v>576</v>
      </c>
      <c r="B103" s="855">
        <v>43705</v>
      </c>
      <c r="C103" s="854" t="s">
        <v>2355</v>
      </c>
      <c r="D103" s="854" t="s">
        <v>881</v>
      </c>
      <c r="E103" s="854" t="s">
        <v>888</v>
      </c>
      <c r="F103" s="856">
        <v>849.99</v>
      </c>
    </row>
    <row r="104" spans="1:6" ht="14.6" x14ac:dyDescent="0.4">
      <c r="A104" s="854" t="s">
        <v>576</v>
      </c>
      <c r="B104" s="855">
        <v>43710</v>
      </c>
      <c r="C104" s="854" t="s">
        <v>2356</v>
      </c>
      <c r="D104" s="854" t="s">
        <v>882</v>
      </c>
      <c r="E104" s="854" t="s">
        <v>889</v>
      </c>
      <c r="F104" s="856">
        <v>8541.27</v>
      </c>
    </row>
    <row r="105" spans="1:6" ht="14.6" x14ac:dyDescent="0.4">
      <c r="A105" s="854" t="s">
        <v>576</v>
      </c>
      <c r="B105" s="855">
        <v>43710</v>
      </c>
      <c r="C105" s="854" t="s">
        <v>2204</v>
      </c>
      <c r="D105" s="854" t="s">
        <v>882</v>
      </c>
      <c r="E105" s="854" t="s">
        <v>890</v>
      </c>
      <c r="F105" s="856">
        <v>237.64</v>
      </c>
    </row>
    <row r="106" spans="1:6" ht="14.6" x14ac:dyDescent="0.4">
      <c r="A106" s="854" t="s">
        <v>576</v>
      </c>
      <c r="B106" s="855">
        <v>43712</v>
      </c>
      <c r="C106" s="854" t="s">
        <v>2357</v>
      </c>
      <c r="D106" s="854" t="s">
        <v>881</v>
      </c>
      <c r="E106" s="854" t="s">
        <v>888</v>
      </c>
      <c r="F106" s="856">
        <v>115.69</v>
      </c>
    </row>
    <row r="107" spans="1:6" ht="14.6" x14ac:dyDescent="0.4">
      <c r="A107" s="854" t="s">
        <v>576</v>
      </c>
      <c r="B107" s="855">
        <v>43715</v>
      </c>
      <c r="C107" s="854" t="s">
        <v>2358</v>
      </c>
      <c r="D107" s="854" t="s">
        <v>884</v>
      </c>
      <c r="E107" s="854" t="s">
        <v>896</v>
      </c>
      <c r="F107" s="856">
        <v>795.75</v>
      </c>
    </row>
    <row r="108" spans="1:6" ht="14.6" x14ac:dyDescent="0.4">
      <c r="A108" s="854" t="s">
        <v>576</v>
      </c>
      <c r="B108" s="855">
        <v>43719</v>
      </c>
      <c r="C108" s="854" t="s">
        <v>2635</v>
      </c>
      <c r="D108" s="854" t="s">
        <v>884</v>
      </c>
      <c r="E108" s="854" t="s">
        <v>896</v>
      </c>
      <c r="F108" s="856">
        <v>2313</v>
      </c>
    </row>
    <row r="109" spans="1:6" ht="14.6" x14ac:dyDescent="0.4">
      <c r="A109" s="854" t="s">
        <v>576</v>
      </c>
      <c r="B109" s="855">
        <v>43724</v>
      </c>
      <c r="C109" s="854" t="s">
        <v>2359</v>
      </c>
      <c r="D109" s="854" t="s">
        <v>887</v>
      </c>
      <c r="E109" s="854" t="s">
        <v>2362</v>
      </c>
      <c r="F109" s="856">
        <v>243.72</v>
      </c>
    </row>
    <row r="110" spans="1:6" ht="14.6" x14ac:dyDescent="0.4">
      <c r="A110" s="854" t="s">
        <v>576</v>
      </c>
      <c r="B110" s="855">
        <v>43725</v>
      </c>
      <c r="C110" s="854" t="s">
        <v>2360</v>
      </c>
      <c r="D110" s="854" t="s">
        <v>885</v>
      </c>
      <c r="E110" s="854" t="s">
        <v>897</v>
      </c>
      <c r="F110" s="856">
        <v>151.97999999999999</v>
      </c>
    </row>
    <row r="111" spans="1:6" ht="14.6" x14ac:dyDescent="0.4">
      <c r="A111" s="854" t="s">
        <v>576</v>
      </c>
      <c r="B111" s="855">
        <v>43727</v>
      </c>
      <c r="C111" s="854" t="s">
        <v>2636</v>
      </c>
      <c r="D111" s="854" t="s">
        <v>881</v>
      </c>
      <c r="E111" s="854" t="s">
        <v>888</v>
      </c>
      <c r="F111" s="856">
        <v>304.93</v>
      </c>
    </row>
    <row r="112" spans="1:6" ht="14.6" x14ac:dyDescent="0.4">
      <c r="A112" s="854" t="s">
        <v>576</v>
      </c>
      <c r="B112" s="855">
        <v>43727</v>
      </c>
      <c r="C112" s="854" t="s">
        <v>2637</v>
      </c>
      <c r="D112" s="854" t="s">
        <v>886</v>
      </c>
      <c r="E112" s="854" t="s">
        <v>898</v>
      </c>
      <c r="F112" s="856">
        <v>1777.15</v>
      </c>
    </row>
    <row r="113" spans="1:6" ht="14.6" x14ac:dyDescent="0.4">
      <c r="A113" s="854" t="s">
        <v>576</v>
      </c>
      <c r="B113" s="855">
        <v>43727</v>
      </c>
      <c r="C113" s="854" t="s">
        <v>2638</v>
      </c>
      <c r="D113" s="854" t="s">
        <v>882</v>
      </c>
      <c r="E113" s="854" t="s">
        <v>889</v>
      </c>
      <c r="F113" s="856">
        <v>8453.9699999999993</v>
      </c>
    </row>
    <row r="114" spans="1:6" ht="14.6" x14ac:dyDescent="0.4">
      <c r="A114" s="854" t="s">
        <v>576</v>
      </c>
      <c r="B114" s="855">
        <v>43727</v>
      </c>
      <c r="C114" s="854" t="s">
        <v>2636</v>
      </c>
      <c r="D114" s="854" t="s">
        <v>882</v>
      </c>
      <c r="E114" s="854" t="s">
        <v>890</v>
      </c>
      <c r="F114" s="856">
        <v>237.64</v>
      </c>
    </row>
    <row r="115" spans="1:6" ht="14.6" x14ac:dyDescent="0.4">
      <c r="A115" s="854" t="s">
        <v>576</v>
      </c>
      <c r="B115" s="855">
        <v>43728</v>
      </c>
      <c r="C115" s="854" t="s">
        <v>2639</v>
      </c>
      <c r="D115" s="854" t="s">
        <v>513</v>
      </c>
      <c r="E115" s="854" t="s">
        <v>895</v>
      </c>
      <c r="F115" s="856">
        <v>1465</v>
      </c>
    </row>
    <row r="116" spans="1:6" ht="14.6" x14ac:dyDescent="0.4">
      <c r="A116" s="854" t="s">
        <v>576</v>
      </c>
      <c r="B116" s="855">
        <v>43739</v>
      </c>
      <c r="C116" s="854" t="s">
        <v>2640</v>
      </c>
      <c r="D116" s="854" t="s">
        <v>881</v>
      </c>
      <c r="E116" s="854" t="s">
        <v>888</v>
      </c>
      <c r="F116" s="856">
        <v>849.99</v>
      </c>
    </row>
    <row r="117" spans="1:6" ht="14.6" x14ac:dyDescent="0.4">
      <c r="A117" s="854" t="s">
        <v>576</v>
      </c>
      <c r="B117" s="855">
        <v>43739</v>
      </c>
      <c r="C117" s="854" t="s">
        <v>2641</v>
      </c>
      <c r="D117" s="854" t="s">
        <v>887</v>
      </c>
      <c r="E117" s="854" t="s">
        <v>2647</v>
      </c>
      <c r="F117" s="856">
        <v>157.88999999999999</v>
      </c>
    </row>
    <row r="118" spans="1:6" ht="14.6" x14ac:dyDescent="0.4">
      <c r="A118" s="854" t="s">
        <v>576</v>
      </c>
      <c r="B118" s="855">
        <v>43742</v>
      </c>
      <c r="C118" s="854" t="s">
        <v>2642</v>
      </c>
      <c r="D118" s="854" t="s">
        <v>881</v>
      </c>
      <c r="E118" s="854" t="s">
        <v>888</v>
      </c>
      <c r="F118" s="856">
        <v>120.45</v>
      </c>
    </row>
    <row r="119" spans="1:6" ht="14.6" x14ac:dyDescent="0.4">
      <c r="A119" s="854" t="s">
        <v>576</v>
      </c>
      <c r="B119" s="855">
        <v>43745</v>
      </c>
      <c r="C119" s="854" t="s">
        <v>2643</v>
      </c>
      <c r="D119" s="854" t="s">
        <v>884</v>
      </c>
      <c r="E119" s="854" t="s">
        <v>896</v>
      </c>
      <c r="F119" s="856">
        <v>740.45</v>
      </c>
    </row>
    <row r="120" spans="1:6" ht="14.6" x14ac:dyDescent="0.4">
      <c r="A120" s="854" t="s">
        <v>576</v>
      </c>
      <c r="B120" s="855">
        <v>43745</v>
      </c>
      <c r="C120" s="854" t="s">
        <v>2643</v>
      </c>
      <c r="D120" s="854" t="s">
        <v>884</v>
      </c>
      <c r="E120" s="854" t="s">
        <v>2648</v>
      </c>
      <c r="F120" s="856">
        <v>-627.1</v>
      </c>
    </row>
    <row r="121" spans="1:6" ht="14.6" x14ac:dyDescent="0.4">
      <c r="A121" s="854" t="s">
        <v>576</v>
      </c>
      <c r="B121" s="855">
        <v>43748</v>
      </c>
      <c r="C121" s="854" t="s">
        <v>2644</v>
      </c>
      <c r="D121" s="854" t="s">
        <v>884</v>
      </c>
      <c r="E121" s="854" t="s">
        <v>896</v>
      </c>
      <c r="F121" s="856">
        <v>1924.91</v>
      </c>
    </row>
    <row r="122" spans="1:6" ht="14.6" x14ac:dyDescent="0.4">
      <c r="A122" s="854" t="s">
        <v>576</v>
      </c>
      <c r="B122" s="855">
        <v>43748</v>
      </c>
      <c r="C122" s="854" t="s">
        <v>2644</v>
      </c>
      <c r="D122" s="854" t="s">
        <v>884</v>
      </c>
      <c r="E122" s="854" t="s">
        <v>2648</v>
      </c>
      <c r="F122" s="856">
        <v>-936.77</v>
      </c>
    </row>
    <row r="123" spans="1:6" ht="14.6" x14ac:dyDescent="0.4">
      <c r="A123" s="854" t="s">
        <v>576</v>
      </c>
      <c r="B123" s="855">
        <v>43757</v>
      </c>
      <c r="C123" s="854" t="s">
        <v>2923</v>
      </c>
      <c r="D123" s="854" t="s">
        <v>881</v>
      </c>
      <c r="E123" s="854" t="s">
        <v>888</v>
      </c>
      <c r="F123" s="856">
        <v>319.10000000000002</v>
      </c>
    </row>
    <row r="124" spans="1:6" ht="14.6" x14ac:dyDescent="0.4">
      <c r="A124" s="854" t="s">
        <v>576</v>
      </c>
      <c r="B124" s="855">
        <v>43757</v>
      </c>
      <c r="C124" s="854" t="s">
        <v>2924</v>
      </c>
      <c r="D124" s="854" t="s">
        <v>886</v>
      </c>
      <c r="E124" s="854" t="s">
        <v>898</v>
      </c>
      <c r="F124" s="856">
        <v>1880.17</v>
      </c>
    </row>
    <row r="125" spans="1:6" ht="14.6" x14ac:dyDescent="0.4">
      <c r="A125" s="854" t="s">
        <v>576</v>
      </c>
      <c r="B125" s="855">
        <v>43758</v>
      </c>
      <c r="C125" s="854" t="s">
        <v>2645</v>
      </c>
      <c r="D125" s="854" t="s">
        <v>513</v>
      </c>
      <c r="E125" s="854" t="s">
        <v>895</v>
      </c>
      <c r="F125" s="856">
        <v>1465</v>
      </c>
    </row>
    <row r="126" spans="1:6" ht="14.6" x14ac:dyDescent="0.4">
      <c r="A126" s="854" t="s">
        <v>576</v>
      </c>
      <c r="B126" s="855">
        <v>43758</v>
      </c>
      <c r="C126" s="854" t="s">
        <v>2925</v>
      </c>
      <c r="D126" s="854" t="s">
        <v>882</v>
      </c>
      <c r="E126" s="854" t="s">
        <v>889</v>
      </c>
      <c r="F126" s="856">
        <v>7267.6</v>
      </c>
    </row>
    <row r="127" spans="1:6" ht="14.6" x14ac:dyDescent="0.4">
      <c r="A127" s="854" t="s">
        <v>576</v>
      </c>
      <c r="B127" s="855">
        <v>43763</v>
      </c>
      <c r="C127" s="854" t="s">
        <v>2646</v>
      </c>
      <c r="D127" s="854" t="s">
        <v>883</v>
      </c>
      <c r="E127" s="854" t="s">
        <v>891</v>
      </c>
      <c r="F127" s="856">
        <v>424.91</v>
      </c>
    </row>
    <row r="128" spans="1:6" ht="14.6" x14ac:dyDescent="0.4">
      <c r="A128" s="854" t="s">
        <v>576</v>
      </c>
      <c r="B128" s="855">
        <v>43764</v>
      </c>
      <c r="C128" s="854" t="s">
        <v>2926</v>
      </c>
      <c r="D128" s="854" t="s">
        <v>883</v>
      </c>
      <c r="E128" s="854" t="s">
        <v>891</v>
      </c>
      <c r="F128" s="856">
        <v>414.91</v>
      </c>
    </row>
    <row r="129" spans="1:6" ht="14.6" x14ac:dyDescent="0.4">
      <c r="A129" s="854" t="s">
        <v>576</v>
      </c>
      <c r="B129" s="855">
        <v>43766</v>
      </c>
      <c r="C129" s="854" t="s">
        <v>2847</v>
      </c>
      <c r="D129" s="854" t="s">
        <v>881</v>
      </c>
      <c r="E129" s="854" t="s">
        <v>888</v>
      </c>
      <c r="F129" s="856">
        <v>860.73</v>
      </c>
    </row>
    <row r="130" spans="1:6" ht="14.6" x14ac:dyDescent="0.4">
      <c r="A130" s="854" t="s">
        <v>576</v>
      </c>
      <c r="B130" s="855">
        <v>43769</v>
      </c>
      <c r="C130" s="854" t="s">
        <v>2923</v>
      </c>
      <c r="D130" s="854" t="s">
        <v>882</v>
      </c>
      <c r="E130" s="854" t="s">
        <v>890</v>
      </c>
      <c r="F130" s="856">
        <v>237.64</v>
      </c>
    </row>
    <row r="131" spans="1:6" ht="14.6" x14ac:dyDescent="0.4">
      <c r="A131" s="854" t="s">
        <v>576</v>
      </c>
      <c r="B131" s="855">
        <v>43769</v>
      </c>
      <c r="C131" s="854" t="s">
        <v>2927</v>
      </c>
      <c r="D131" s="854" t="s">
        <v>887</v>
      </c>
      <c r="E131" s="854" t="s">
        <v>2936</v>
      </c>
      <c r="F131" s="856">
        <v>213.38</v>
      </c>
    </row>
    <row r="132" spans="1:6" ht="14.6" x14ac:dyDescent="0.4">
      <c r="A132" s="854" t="s">
        <v>575</v>
      </c>
      <c r="B132" s="855">
        <v>43770</v>
      </c>
      <c r="C132" s="854" t="s">
        <v>2928</v>
      </c>
      <c r="D132" s="854" t="s">
        <v>2935</v>
      </c>
      <c r="E132" s="854" t="s">
        <v>3172</v>
      </c>
      <c r="F132" s="856">
        <v>15</v>
      </c>
    </row>
    <row r="133" spans="1:6" ht="14.6" x14ac:dyDescent="0.4">
      <c r="A133" s="854" t="s">
        <v>576</v>
      </c>
      <c r="B133" s="855">
        <v>43771</v>
      </c>
      <c r="C133" s="854" t="s">
        <v>2929</v>
      </c>
      <c r="D133" s="854" t="s">
        <v>885</v>
      </c>
      <c r="E133" s="854" t="s">
        <v>897</v>
      </c>
      <c r="F133" s="856">
        <v>75.959999999999994</v>
      </c>
    </row>
    <row r="134" spans="1:6" ht="14.6" x14ac:dyDescent="0.4">
      <c r="A134" s="854" t="s">
        <v>576</v>
      </c>
      <c r="B134" s="855">
        <v>43773</v>
      </c>
      <c r="C134" s="854" t="s">
        <v>2930</v>
      </c>
      <c r="D134" s="854" t="s">
        <v>881</v>
      </c>
      <c r="E134" s="854" t="s">
        <v>888</v>
      </c>
      <c r="F134" s="856">
        <v>120.7</v>
      </c>
    </row>
    <row r="135" spans="1:6" ht="14.6" x14ac:dyDescent="0.4">
      <c r="A135" s="854" t="s">
        <v>576</v>
      </c>
      <c r="B135" s="855">
        <v>43776</v>
      </c>
      <c r="C135" s="854" t="s">
        <v>2931</v>
      </c>
      <c r="D135" s="854" t="s">
        <v>884</v>
      </c>
      <c r="E135" s="854" t="s">
        <v>896</v>
      </c>
      <c r="F135" s="856">
        <v>795.75</v>
      </c>
    </row>
    <row r="136" spans="1:6" ht="14.6" x14ac:dyDescent="0.4">
      <c r="A136" s="854" t="s">
        <v>576</v>
      </c>
      <c r="B136" s="855">
        <v>43779</v>
      </c>
      <c r="C136" s="854" t="s">
        <v>2932</v>
      </c>
      <c r="D136" s="854" t="s">
        <v>884</v>
      </c>
      <c r="E136" s="854" t="s">
        <v>896</v>
      </c>
      <c r="F136" s="856">
        <v>2318.08</v>
      </c>
    </row>
    <row r="137" spans="1:6" ht="14.6" x14ac:dyDescent="0.4">
      <c r="A137" s="854" t="s">
        <v>576</v>
      </c>
      <c r="B137" s="855">
        <v>43788</v>
      </c>
      <c r="C137" s="854" t="s">
        <v>3158</v>
      </c>
      <c r="D137" s="854" t="s">
        <v>886</v>
      </c>
      <c r="E137" s="854" t="s">
        <v>898</v>
      </c>
      <c r="F137" s="856">
        <v>1938.21</v>
      </c>
    </row>
    <row r="138" spans="1:6" ht="14.6" x14ac:dyDescent="0.4">
      <c r="A138" s="854" t="s">
        <v>576</v>
      </c>
      <c r="B138" s="855">
        <v>43789</v>
      </c>
      <c r="C138" s="854" t="s">
        <v>2933</v>
      </c>
      <c r="D138" s="854" t="s">
        <v>513</v>
      </c>
      <c r="E138" s="854" t="s">
        <v>895</v>
      </c>
      <c r="F138" s="856">
        <v>1465</v>
      </c>
    </row>
    <row r="139" spans="1:6" ht="14.6" x14ac:dyDescent="0.4">
      <c r="A139" s="854" t="s">
        <v>576</v>
      </c>
      <c r="B139" s="855">
        <v>43794</v>
      </c>
      <c r="C139" s="854" t="s">
        <v>2934</v>
      </c>
      <c r="D139" s="854" t="s">
        <v>883</v>
      </c>
      <c r="E139" s="854" t="s">
        <v>891</v>
      </c>
      <c r="F139" s="856">
        <v>431.35</v>
      </c>
    </row>
    <row r="140" spans="1:6" ht="14.6" x14ac:dyDescent="0.4">
      <c r="A140" s="854" t="s">
        <v>576</v>
      </c>
      <c r="B140" s="855">
        <v>43797</v>
      </c>
      <c r="C140" s="854" t="s">
        <v>3159</v>
      </c>
      <c r="D140" s="854" t="s">
        <v>881</v>
      </c>
      <c r="E140" s="854" t="s">
        <v>888</v>
      </c>
      <c r="F140" s="856">
        <v>860.73</v>
      </c>
    </row>
    <row r="141" spans="1:6" ht="14.6" x14ac:dyDescent="0.4">
      <c r="A141" s="854" t="s">
        <v>576</v>
      </c>
      <c r="B141" s="855">
        <v>43802</v>
      </c>
      <c r="C141" s="854" t="s">
        <v>3160</v>
      </c>
      <c r="D141" s="854" t="s">
        <v>882</v>
      </c>
      <c r="E141" s="854" t="s">
        <v>890</v>
      </c>
      <c r="F141" s="856">
        <v>237.64</v>
      </c>
    </row>
    <row r="142" spans="1:6" ht="14.6" x14ac:dyDescent="0.4">
      <c r="A142" s="854" t="s">
        <v>576</v>
      </c>
      <c r="B142" s="855">
        <v>43802</v>
      </c>
      <c r="C142" s="854" t="s">
        <v>3160</v>
      </c>
      <c r="D142" s="854" t="s">
        <v>882</v>
      </c>
      <c r="E142" s="854" t="s">
        <v>889</v>
      </c>
      <c r="F142" s="856">
        <v>6288.03</v>
      </c>
    </row>
    <row r="143" spans="1:6" ht="15" customHeight="1" x14ac:dyDescent="0.4">
      <c r="A143" s="854" t="s">
        <v>576</v>
      </c>
      <c r="B143" s="855">
        <v>43803</v>
      </c>
      <c r="C143" s="854" t="s">
        <v>3108</v>
      </c>
      <c r="D143" s="854" t="s">
        <v>881</v>
      </c>
      <c r="E143" s="854" t="s">
        <v>888</v>
      </c>
      <c r="F143" s="856">
        <v>120.7</v>
      </c>
    </row>
    <row r="144" spans="1:6" ht="15" customHeight="1" x14ac:dyDescent="0.4">
      <c r="A144" s="854" t="s">
        <v>576</v>
      </c>
      <c r="B144" s="855">
        <v>43806</v>
      </c>
      <c r="C144" s="854" t="s">
        <v>3161</v>
      </c>
      <c r="D144" s="854" t="s">
        <v>884</v>
      </c>
      <c r="E144" s="854" t="s">
        <v>896</v>
      </c>
      <c r="F144" s="856">
        <v>795.75</v>
      </c>
    </row>
    <row r="145" spans="1:6" ht="15" customHeight="1" x14ac:dyDescent="0.4">
      <c r="A145" s="854" t="s">
        <v>576</v>
      </c>
      <c r="B145" s="855">
        <v>43808</v>
      </c>
      <c r="C145" s="854" t="s">
        <v>3162</v>
      </c>
      <c r="D145" s="854" t="s">
        <v>887</v>
      </c>
      <c r="E145" s="854" t="s">
        <v>3169</v>
      </c>
      <c r="F145" s="856">
        <v>135.91</v>
      </c>
    </row>
    <row r="146" spans="1:6" ht="15" customHeight="1" x14ac:dyDescent="0.4">
      <c r="A146" s="854" t="s">
        <v>576</v>
      </c>
      <c r="B146" s="855">
        <v>43808</v>
      </c>
      <c r="C146" s="854" t="s">
        <v>3163</v>
      </c>
      <c r="D146" s="854" t="s">
        <v>885</v>
      </c>
      <c r="E146" s="854" t="s">
        <v>897</v>
      </c>
      <c r="F146" s="856">
        <v>151.94</v>
      </c>
    </row>
    <row r="147" spans="1:6" ht="15" customHeight="1" x14ac:dyDescent="0.4">
      <c r="A147" s="854" t="s">
        <v>576</v>
      </c>
      <c r="B147" s="855">
        <v>43809</v>
      </c>
      <c r="C147" s="854" t="s">
        <v>3164</v>
      </c>
      <c r="D147" s="854" t="s">
        <v>884</v>
      </c>
      <c r="E147" s="854" t="s">
        <v>896</v>
      </c>
      <c r="F147" s="856">
        <v>2318.08</v>
      </c>
    </row>
    <row r="148" spans="1:6" ht="15" customHeight="1" x14ac:dyDescent="0.4">
      <c r="A148" s="854" t="s">
        <v>576</v>
      </c>
      <c r="B148" s="855">
        <v>43812</v>
      </c>
      <c r="C148" s="854" t="s">
        <v>3160</v>
      </c>
      <c r="D148" s="854" t="s">
        <v>881</v>
      </c>
      <c r="E148" s="854" t="s">
        <v>888</v>
      </c>
      <c r="F148" s="856">
        <v>319.10000000000002</v>
      </c>
    </row>
    <row r="149" spans="1:6" ht="15" customHeight="1" x14ac:dyDescent="0.4">
      <c r="A149" s="854" t="s">
        <v>576</v>
      </c>
      <c r="B149" s="855">
        <v>43818</v>
      </c>
      <c r="C149" s="854" t="s">
        <v>3165</v>
      </c>
      <c r="D149" s="854" t="s">
        <v>886</v>
      </c>
      <c r="E149" s="854" t="s">
        <v>898</v>
      </c>
      <c r="F149" s="856">
        <v>2051.9699999999998</v>
      </c>
    </row>
    <row r="150" spans="1:6" ht="15" customHeight="1" x14ac:dyDescent="0.4">
      <c r="A150" s="854" t="s">
        <v>576</v>
      </c>
      <c r="B150" s="855">
        <v>43818</v>
      </c>
      <c r="C150" s="854" t="s">
        <v>3166</v>
      </c>
      <c r="D150" s="854" t="s">
        <v>881</v>
      </c>
      <c r="E150" s="854" t="s">
        <v>3170</v>
      </c>
      <c r="F150" s="856">
        <v>335.06</v>
      </c>
    </row>
    <row r="151" spans="1:6" ht="15" customHeight="1" x14ac:dyDescent="0.4">
      <c r="A151" s="854" t="s">
        <v>576</v>
      </c>
      <c r="B151" s="855">
        <v>43827</v>
      </c>
      <c r="C151" s="854" t="s">
        <v>3167</v>
      </c>
      <c r="D151" s="854" t="s">
        <v>881</v>
      </c>
      <c r="E151" s="854" t="s">
        <v>3170</v>
      </c>
      <c r="F151" s="856">
        <v>860.73</v>
      </c>
    </row>
    <row r="152" spans="1:6" ht="15" customHeight="1" x14ac:dyDescent="0.4">
      <c r="A152" s="854" t="s">
        <v>576</v>
      </c>
      <c r="B152" s="855">
        <v>43830</v>
      </c>
      <c r="C152" s="854" t="s">
        <v>3168</v>
      </c>
      <c r="D152" s="854" t="s">
        <v>887</v>
      </c>
      <c r="E152" s="854" t="s">
        <v>3171</v>
      </c>
      <c r="F152" s="856">
        <v>99.04</v>
      </c>
    </row>
    <row r="153" spans="1:6" ht="15" customHeight="1" x14ac:dyDescent="0.4">
      <c r="A153" s="854" t="s">
        <v>576</v>
      </c>
      <c r="B153" s="855">
        <v>43830</v>
      </c>
      <c r="C153" s="854" t="s">
        <v>3166</v>
      </c>
      <c r="D153" s="854" t="s">
        <v>882</v>
      </c>
      <c r="E153" s="854" t="s">
        <v>890</v>
      </c>
      <c r="F153" s="856">
        <v>237.64</v>
      </c>
    </row>
    <row r="154" spans="1:6" ht="15" customHeight="1" thickBot="1" x14ac:dyDescent="0.45">
      <c r="A154" s="854" t="s">
        <v>576</v>
      </c>
      <c r="B154" s="855">
        <v>43830</v>
      </c>
      <c r="C154" s="854" t="s">
        <v>3166</v>
      </c>
      <c r="D154" s="854" t="s">
        <v>882</v>
      </c>
      <c r="E154" s="854" t="s">
        <v>889</v>
      </c>
      <c r="F154" s="857">
        <v>6173.67</v>
      </c>
    </row>
    <row r="155" spans="1:6" ht="15" customHeight="1" thickBot="1" x14ac:dyDescent="0.45">
      <c r="A155" s="854"/>
      <c r="B155" s="855"/>
      <c r="C155" s="854"/>
      <c r="D155" s="854"/>
      <c r="E155" s="854"/>
      <c r="F155" s="858">
        <f>ROUND(SUM(F3:F154),5)</f>
        <v>184080.4</v>
      </c>
    </row>
    <row r="156" spans="1:6" ht="15" customHeight="1" thickBot="1" x14ac:dyDescent="0.45">
      <c r="A156" s="854"/>
      <c r="B156" s="855"/>
      <c r="C156" s="854"/>
      <c r="D156" s="854"/>
      <c r="E156" s="854"/>
      <c r="F156" s="858">
        <f>F155</f>
        <v>184080.4</v>
      </c>
    </row>
    <row r="157" spans="1:6" ht="15" customHeight="1" thickBot="1" x14ac:dyDescent="0.45">
      <c r="A157" s="854"/>
      <c r="B157" s="855"/>
      <c r="C157" s="854"/>
      <c r="D157" s="854"/>
      <c r="E157" s="854"/>
      <c r="F157" s="859">
        <f>F156</f>
        <v>184080.4</v>
      </c>
    </row>
    <row r="158" spans="1:6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4:08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357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3572" r:id="rId4" name="HEADER"/>
      </mc:Fallback>
    </mc:AlternateContent>
    <mc:AlternateContent xmlns:mc="http://schemas.openxmlformats.org/markup-compatibility/2006">
      <mc:Choice Requires="x14">
        <control shapeId="2357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3571" r:id="rId6" name="FILTER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H211"/>
  <sheetViews>
    <sheetView workbookViewId="0">
      <pane xSplit="1" ySplit="1" topLeftCell="B177" activePane="bottomRight" state="frozenSplit"/>
      <selection pane="topRight" activeCell="D1" sqref="D1"/>
      <selection pane="bottomLeft" activeCell="A2" sqref="A2"/>
      <selection pane="bottomRight" activeCell="F208" sqref="F208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7.53515625" style="861" bestFit="1" customWidth="1"/>
    <col min="4" max="5" width="30.69140625" style="861" customWidth="1"/>
    <col min="6" max="6" width="10.15234375" style="861" bestFit="1" customWidth="1"/>
  </cols>
  <sheetData>
    <row r="1" spans="1:7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7" thickTop="1" x14ac:dyDescent="0.4">
      <c r="A2" s="854"/>
      <c r="B2" s="855"/>
      <c r="C2" s="854"/>
      <c r="D2" s="854"/>
      <c r="E2" s="854"/>
      <c r="F2" s="856"/>
    </row>
    <row r="3" spans="1:7" ht="14.6" x14ac:dyDescent="0.4">
      <c r="A3" s="854"/>
      <c r="B3" s="855"/>
      <c r="C3" s="854"/>
      <c r="D3" s="854"/>
      <c r="E3" s="854"/>
      <c r="F3" s="856"/>
    </row>
    <row r="4" spans="1:7" ht="14.6" x14ac:dyDescent="0.4">
      <c r="A4" s="854" t="s">
        <v>576</v>
      </c>
      <c r="B4" s="855">
        <v>43466</v>
      </c>
      <c r="C4" s="854" t="s">
        <v>901</v>
      </c>
      <c r="D4" s="854" t="s">
        <v>921</v>
      </c>
      <c r="E4" s="854" t="s">
        <v>930</v>
      </c>
      <c r="F4" s="856">
        <v>822.62</v>
      </c>
    </row>
    <row r="5" spans="1:7" ht="14.6" x14ac:dyDescent="0.4">
      <c r="A5" s="854" t="s">
        <v>576</v>
      </c>
      <c r="B5" s="855">
        <v>43466</v>
      </c>
      <c r="C5" s="854" t="s">
        <v>902</v>
      </c>
      <c r="D5" s="854" t="s">
        <v>922</v>
      </c>
      <c r="E5" s="854" t="s">
        <v>931</v>
      </c>
      <c r="F5" s="856">
        <v>105</v>
      </c>
    </row>
    <row r="6" spans="1:7" ht="14.6" x14ac:dyDescent="0.4">
      <c r="A6" s="854" t="s">
        <v>576</v>
      </c>
      <c r="B6" s="855">
        <v>43466</v>
      </c>
      <c r="C6" s="854" t="s">
        <v>903</v>
      </c>
      <c r="D6" s="854" t="s">
        <v>661</v>
      </c>
      <c r="E6" s="854" t="s">
        <v>932</v>
      </c>
      <c r="F6" s="856">
        <v>1875</v>
      </c>
    </row>
    <row r="7" spans="1:7" ht="14.6" x14ac:dyDescent="0.4">
      <c r="A7" s="854" t="s">
        <v>576</v>
      </c>
      <c r="B7" s="855">
        <v>43466</v>
      </c>
      <c r="C7" s="854" t="s">
        <v>904</v>
      </c>
      <c r="D7" s="854" t="s">
        <v>923</v>
      </c>
      <c r="E7" s="854" t="s">
        <v>933</v>
      </c>
      <c r="F7" s="856">
        <v>813.75</v>
      </c>
    </row>
    <row r="8" spans="1:7" ht="14.6" x14ac:dyDescent="0.4">
      <c r="A8" s="854" t="s">
        <v>576</v>
      </c>
      <c r="B8" s="855">
        <v>43487</v>
      </c>
      <c r="C8" s="854" t="s">
        <v>905</v>
      </c>
      <c r="D8" s="854" t="s">
        <v>594</v>
      </c>
      <c r="E8" s="854" t="s">
        <v>934</v>
      </c>
      <c r="F8" s="856">
        <v>6.99</v>
      </c>
    </row>
    <row r="9" spans="1:7" ht="14.6" x14ac:dyDescent="0.4">
      <c r="A9" s="854" t="s">
        <v>576</v>
      </c>
      <c r="B9" s="855">
        <v>43489</v>
      </c>
      <c r="C9" s="854" t="s">
        <v>906</v>
      </c>
      <c r="D9" s="854" t="s">
        <v>922</v>
      </c>
      <c r="E9" s="854" t="s">
        <v>1993</v>
      </c>
      <c r="G9" s="856">
        <v>6000</v>
      </c>
    </row>
    <row r="10" spans="1:7" ht="14.6" x14ac:dyDescent="0.4">
      <c r="A10" s="854" t="s">
        <v>576</v>
      </c>
      <c r="B10" s="855">
        <v>43490</v>
      </c>
      <c r="C10" s="854" t="s">
        <v>907</v>
      </c>
      <c r="D10" s="854" t="s">
        <v>924</v>
      </c>
      <c r="E10" s="854" t="s">
        <v>935</v>
      </c>
      <c r="F10" s="856">
        <v>24.75</v>
      </c>
    </row>
    <row r="11" spans="1:7" ht="14.6" x14ac:dyDescent="0.4">
      <c r="A11" s="854" t="s">
        <v>576</v>
      </c>
      <c r="B11" s="855">
        <v>43496</v>
      </c>
      <c r="C11" s="854" t="s">
        <v>908</v>
      </c>
      <c r="D11" s="854" t="s">
        <v>925</v>
      </c>
      <c r="E11" s="854" t="s">
        <v>936</v>
      </c>
      <c r="F11" s="856">
        <v>250</v>
      </c>
    </row>
    <row r="12" spans="1:7" ht="14.6" x14ac:dyDescent="0.4">
      <c r="A12" s="854" t="s">
        <v>576</v>
      </c>
      <c r="B12" s="855">
        <v>43497</v>
      </c>
      <c r="C12" s="854" t="s">
        <v>909</v>
      </c>
      <c r="D12" s="854" t="s">
        <v>921</v>
      </c>
      <c r="E12" s="854" t="s">
        <v>930</v>
      </c>
      <c r="F12" s="856">
        <v>822.62</v>
      </c>
    </row>
    <row r="13" spans="1:7" ht="14.6" x14ac:dyDescent="0.4">
      <c r="A13" s="854" t="s">
        <v>576</v>
      </c>
      <c r="B13" s="855">
        <v>43497</v>
      </c>
      <c r="C13" s="854" t="s">
        <v>910</v>
      </c>
      <c r="D13" s="854" t="s">
        <v>661</v>
      </c>
      <c r="E13" s="854" t="s">
        <v>937</v>
      </c>
      <c r="F13" s="856">
        <v>1875</v>
      </c>
    </row>
    <row r="14" spans="1:7" ht="14.6" x14ac:dyDescent="0.4">
      <c r="A14" s="854" t="s">
        <v>576</v>
      </c>
      <c r="B14" s="855">
        <v>43497</v>
      </c>
      <c r="C14" s="854" t="s">
        <v>911</v>
      </c>
      <c r="D14" s="854" t="s">
        <v>923</v>
      </c>
      <c r="E14" s="854" t="s">
        <v>933</v>
      </c>
      <c r="F14" s="856">
        <v>813.75</v>
      </c>
    </row>
    <row r="15" spans="1:7" ht="14.6" x14ac:dyDescent="0.4">
      <c r="A15" s="854" t="s">
        <v>576</v>
      </c>
      <c r="B15" s="855">
        <v>43509</v>
      </c>
      <c r="C15" s="854" t="s">
        <v>912</v>
      </c>
      <c r="D15" s="854" t="s">
        <v>926</v>
      </c>
      <c r="E15" s="854" t="s">
        <v>2694</v>
      </c>
      <c r="G15" s="856">
        <v>725</v>
      </c>
    </row>
    <row r="16" spans="1:7" ht="14.6" x14ac:dyDescent="0.4">
      <c r="A16" s="854" t="s">
        <v>576</v>
      </c>
      <c r="B16" s="855">
        <v>43509</v>
      </c>
      <c r="C16" s="854" t="s">
        <v>913</v>
      </c>
      <c r="D16" s="854" t="s">
        <v>927</v>
      </c>
      <c r="E16" s="854" t="s">
        <v>938</v>
      </c>
      <c r="F16" s="856">
        <v>289</v>
      </c>
    </row>
    <row r="17" spans="1:7" ht="14.6" x14ac:dyDescent="0.4">
      <c r="A17" s="854" t="s">
        <v>576</v>
      </c>
      <c r="B17" s="855">
        <v>43510</v>
      </c>
      <c r="C17" s="854" t="s">
        <v>914</v>
      </c>
      <c r="D17" s="854" t="s">
        <v>928</v>
      </c>
      <c r="E17" s="854" t="s">
        <v>939</v>
      </c>
      <c r="F17" s="856">
        <v>380</v>
      </c>
    </row>
    <row r="18" spans="1:7" ht="14.6" x14ac:dyDescent="0.4">
      <c r="A18" s="854" t="s">
        <v>576</v>
      </c>
      <c r="B18" s="855">
        <v>43511</v>
      </c>
      <c r="C18" s="854" t="s">
        <v>915</v>
      </c>
      <c r="D18" s="854" t="s">
        <v>929</v>
      </c>
      <c r="E18" s="854" t="s">
        <v>940</v>
      </c>
      <c r="F18" s="856">
        <v>133</v>
      </c>
    </row>
    <row r="19" spans="1:7" ht="14.6" x14ac:dyDescent="0.4">
      <c r="A19" s="854" t="s">
        <v>576</v>
      </c>
      <c r="B19" s="855">
        <v>43516</v>
      </c>
      <c r="C19" s="854" t="s">
        <v>1301</v>
      </c>
      <c r="D19" s="854" t="s">
        <v>922</v>
      </c>
      <c r="E19" s="854" t="s">
        <v>1993</v>
      </c>
      <c r="G19" s="856">
        <v>5000</v>
      </c>
    </row>
    <row r="20" spans="1:7" ht="14.6" x14ac:dyDescent="0.4">
      <c r="A20" s="854" t="s">
        <v>576</v>
      </c>
      <c r="B20" s="855">
        <v>43518</v>
      </c>
      <c r="C20" s="854" t="s">
        <v>916</v>
      </c>
      <c r="D20" s="854" t="s">
        <v>927</v>
      </c>
      <c r="E20" s="854" t="s">
        <v>938</v>
      </c>
      <c r="F20" s="856">
        <v>425</v>
      </c>
    </row>
    <row r="21" spans="1:7" ht="14.6" x14ac:dyDescent="0.4">
      <c r="A21" s="854" t="s">
        <v>576</v>
      </c>
      <c r="B21" s="855">
        <v>43524</v>
      </c>
      <c r="C21" s="854" t="s">
        <v>917</v>
      </c>
      <c r="D21" s="854" t="s">
        <v>925</v>
      </c>
      <c r="E21" s="854" t="s">
        <v>941</v>
      </c>
      <c r="F21" s="856">
        <v>56.15</v>
      </c>
    </row>
    <row r="22" spans="1:7" ht="14.6" x14ac:dyDescent="0.4">
      <c r="A22" s="854" t="s">
        <v>576</v>
      </c>
      <c r="B22" s="855">
        <v>43524</v>
      </c>
      <c r="C22" s="854" t="s">
        <v>917</v>
      </c>
      <c r="D22" s="854" t="s">
        <v>925</v>
      </c>
      <c r="E22" s="854" t="s">
        <v>936</v>
      </c>
      <c r="F22" s="856">
        <v>250</v>
      </c>
    </row>
    <row r="23" spans="1:7" ht="14.6" x14ac:dyDescent="0.4">
      <c r="A23" s="854" t="s">
        <v>576</v>
      </c>
      <c r="B23" s="855">
        <v>43524</v>
      </c>
      <c r="C23" s="854" t="s">
        <v>917</v>
      </c>
      <c r="D23" s="854" t="s">
        <v>925</v>
      </c>
      <c r="E23" s="854" t="s">
        <v>942</v>
      </c>
      <c r="F23" s="856">
        <v>159.78</v>
      </c>
    </row>
    <row r="24" spans="1:7" ht="14.6" x14ac:dyDescent="0.4">
      <c r="A24" s="854" t="s">
        <v>575</v>
      </c>
      <c r="B24" s="855">
        <v>43524</v>
      </c>
      <c r="C24" s="854" t="s">
        <v>1302</v>
      </c>
      <c r="D24" s="854" t="s">
        <v>1319</v>
      </c>
      <c r="E24" s="854" t="s">
        <v>1325</v>
      </c>
      <c r="F24" s="856">
        <v>21.75</v>
      </c>
    </row>
    <row r="25" spans="1:7" ht="14.6" x14ac:dyDescent="0.4">
      <c r="A25" s="854" t="s">
        <v>575</v>
      </c>
      <c r="B25" s="855">
        <v>43524</v>
      </c>
      <c r="C25" s="854" t="s">
        <v>1302</v>
      </c>
      <c r="D25" s="854" t="s">
        <v>1319</v>
      </c>
      <c r="E25" s="854" t="s">
        <v>1326</v>
      </c>
      <c r="F25" s="856">
        <v>5.97</v>
      </c>
    </row>
    <row r="26" spans="1:7" ht="14.6" x14ac:dyDescent="0.4">
      <c r="A26" s="854" t="s">
        <v>575</v>
      </c>
      <c r="B26" s="855">
        <v>43524</v>
      </c>
      <c r="C26" s="854" t="s">
        <v>1302</v>
      </c>
      <c r="D26" s="854" t="s">
        <v>1319</v>
      </c>
      <c r="E26" s="854" t="s">
        <v>1327</v>
      </c>
      <c r="F26" s="856">
        <v>2.48</v>
      </c>
    </row>
    <row r="27" spans="1:7" ht="14.6" x14ac:dyDescent="0.4">
      <c r="A27" s="854" t="s">
        <v>575</v>
      </c>
      <c r="B27" s="855">
        <v>43524</v>
      </c>
      <c r="C27" s="854" t="s">
        <v>1302</v>
      </c>
      <c r="D27" s="854" t="s">
        <v>1319</v>
      </c>
      <c r="E27" s="854" t="s">
        <v>1328</v>
      </c>
      <c r="F27" s="856">
        <v>9.98</v>
      </c>
    </row>
    <row r="28" spans="1:7" ht="14.6" x14ac:dyDescent="0.4">
      <c r="A28" s="854" t="s">
        <v>575</v>
      </c>
      <c r="B28" s="855">
        <v>43524</v>
      </c>
      <c r="C28" s="854" t="s">
        <v>1302</v>
      </c>
      <c r="D28" s="854" t="s">
        <v>1319</v>
      </c>
      <c r="E28" s="854" t="s">
        <v>1329</v>
      </c>
      <c r="F28" s="856">
        <v>3.57</v>
      </c>
    </row>
    <row r="29" spans="1:7" ht="14.6" x14ac:dyDescent="0.4">
      <c r="A29" s="854" t="s">
        <v>576</v>
      </c>
      <c r="B29" s="855">
        <v>43525</v>
      </c>
      <c r="C29" s="854" t="s">
        <v>918</v>
      </c>
      <c r="D29" s="854" t="s">
        <v>922</v>
      </c>
      <c r="E29" s="854" t="s">
        <v>931</v>
      </c>
      <c r="F29" s="856">
        <v>105</v>
      </c>
    </row>
    <row r="30" spans="1:7" ht="14.6" x14ac:dyDescent="0.4">
      <c r="A30" s="854" t="s">
        <v>576</v>
      </c>
      <c r="B30" s="855">
        <v>43525</v>
      </c>
      <c r="C30" s="854" t="s">
        <v>919</v>
      </c>
      <c r="D30" s="854" t="s">
        <v>661</v>
      </c>
      <c r="E30" s="854" t="s">
        <v>943</v>
      </c>
      <c r="F30" s="856">
        <v>1875</v>
      </c>
    </row>
    <row r="31" spans="1:7" ht="14.6" x14ac:dyDescent="0.4">
      <c r="A31" s="854" t="s">
        <v>576</v>
      </c>
      <c r="B31" s="855">
        <v>43525</v>
      </c>
      <c r="C31" s="854" t="s">
        <v>920</v>
      </c>
      <c r="D31" s="854" t="s">
        <v>921</v>
      </c>
      <c r="E31" s="854" t="s">
        <v>930</v>
      </c>
      <c r="F31" s="856">
        <v>822.62</v>
      </c>
    </row>
    <row r="32" spans="1:7" ht="14.6" x14ac:dyDescent="0.4">
      <c r="A32" s="854" t="s">
        <v>576</v>
      </c>
      <c r="B32" s="855">
        <v>43525</v>
      </c>
      <c r="C32" s="854" t="s">
        <v>1303</v>
      </c>
      <c r="D32" s="854" t="s">
        <v>923</v>
      </c>
      <c r="E32" s="854" t="s">
        <v>933</v>
      </c>
      <c r="F32" s="856">
        <v>813.75</v>
      </c>
    </row>
    <row r="33" spans="1:7" ht="14.6" x14ac:dyDescent="0.4">
      <c r="A33" s="854" t="s">
        <v>576</v>
      </c>
      <c r="B33" s="855">
        <v>43539</v>
      </c>
      <c r="C33" s="854" t="s">
        <v>1304</v>
      </c>
      <c r="D33" s="854" t="s">
        <v>923</v>
      </c>
      <c r="E33" s="854" t="s">
        <v>1330</v>
      </c>
      <c r="F33" s="856">
        <v>870</v>
      </c>
    </row>
    <row r="34" spans="1:7" ht="14.6" x14ac:dyDescent="0.4">
      <c r="A34" s="854" t="s">
        <v>575</v>
      </c>
      <c r="B34" s="855">
        <v>43543</v>
      </c>
      <c r="C34" s="854" t="s">
        <v>1305</v>
      </c>
      <c r="D34" s="854" t="s">
        <v>1320</v>
      </c>
      <c r="E34" s="854" t="s">
        <v>1331</v>
      </c>
      <c r="F34" s="856">
        <v>0</v>
      </c>
    </row>
    <row r="35" spans="1:7" ht="14.6" x14ac:dyDescent="0.4">
      <c r="A35" s="854" t="s">
        <v>575</v>
      </c>
      <c r="B35" s="855">
        <v>43543</v>
      </c>
      <c r="C35" s="854" t="s">
        <v>1305</v>
      </c>
      <c r="D35" s="854" t="s">
        <v>1320</v>
      </c>
      <c r="E35" s="854" t="s">
        <v>1332</v>
      </c>
      <c r="F35" s="856">
        <v>239.31</v>
      </c>
    </row>
    <row r="36" spans="1:7" ht="14.6" x14ac:dyDescent="0.4">
      <c r="A36" s="854" t="s">
        <v>575</v>
      </c>
      <c r="B36" s="855">
        <v>43543</v>
      </c>
      <c r="C36" s="854" t="s">
        <v>1305</v>
      </c>
      <c r="D36" s="854" t="s">
        <v>1320</v>
      </c>
      <c r="E36" s="854" t="s">
        <v>1333</v>
      </c>
      <c r="F36" s="856">
        <v>437.5</v>
      </c>
    </row>
    <row r="37" spans="1:7" ht="14.6" x14ac:dyDescent="0.4">
      <c r="A37" s="854" t="s">
        <v>576</v>
      </c>
      <c r="B37" s="855">
        <v>43546</v>
      </c>
      <c r="C37" s="854" t="s">
        <v>1306</v>
      </c>
      <c r="D37" s="854" t="s">
        <v>1321</v>
      </c>
      <c r="E37" s="854" t="s">
        <v>1334</v>
      </c>
      <c r="F37" s="856">
        <v>450</v>
      </c>
    </row>
    <row r="38" spans="1:7" ht="14.6" x14ac:dyDescent="0.4">
      <c r="A38" s="854" t="s">
        <v>576</v>
      </c>
      <c r="B38" s="855">
        <v>43549</v>
      </c>
      <c r="C38" s="854" t="s">
        <v>1307</v>
      </c>
      <c r="D38" s="854" t="s">
        <v>1322</v>
      </c>
      <c r="E38" s="854" t="s">
        <v>2693</v>
      </c>
      <c r="G38" s="856">
        <v>9600</v>
      </c>
    </row>
    <row r="39" spans="1:7" ht="14.6" x14ac:dyDescent="0.4">
      <c r="A39" s="854" t="s">
        <v>576</v>
      </c>
      <c r="B39" s="855">
        <v>43549</v>
      </c>
      <c r="C39" s="854" t="s">
        <v>1308</v>
      </c>
      <c r="D39" s="854" t="s">
        <v>1207</v>
      </c>
      <c r="E39" s="854" t="s">
        <v>1335</v>
      </c>
      <c r="F39" s="856">
        <v>2179</v>
      </c>
    </row>
    <row r="40" spans="1:7" ht="14.6" x14ac:dyDescent="0.4">
      <c r="A40" s="854" t="s">
        <v>576</v>
      </c>
      <c r="B40" s="855">
        <v>43549</v>
      </c>
      <c r="C40" s="854" t="s">
        <v>1309</v>
      </c>
      <c r="D40" s="854" t="s">
        <v>1207</v>
      </c>
      <c r="E40" s="854" t="s">
        <v>1336</v>
      </c>
      <c r="F40" s="856">
        <v>1206.83</v>
      </c>
    </row>
    <row r="41" spans="1:7" ht="14.6" x14ac:dyDescent="0.4">
      <c r="A41" s="854" t="s">
        <v>576</v>
      </c>
      <c r="B41" s="855">
        <v>43555</v>
      </c>
      <c r="C41" s="854" t="s">
        <v>1310</v>
      </c>
      <c r="D41" s="854" t="s">
        <v>925</v>
      </c>
      <c r="E41" s="854" t="s">
        <v>1337</v>
      </c>
      <c r="F41" s="856">
        <v>77.12</v>
      </c>
    </row>
    <row r="42" spans="1:7" ht="14.6" x14ac:dyDescent="0.4">
      <c r="A42" s="854" t="s">
        <v>576</v>
      </c>
      <c r="B42" s="855">
        <v>43555</v>
      </c>
      <c r="C42" s="854" t="s">
        <v>1310</v>
      </c>
      <c r="D42" s="854" t="s">
        <v>925</v>
      </c>
      <c r="E42" s="854" t="s">
        <v>936</v>
      </c>
      <c r="F42" s="856">
        <v>250</v>
      </c>
    </row>
    <row r="43" spans="1:7" ht="14.6" x14ac:dyDescent="0.4">
      <c r="A43" s="854" t="s">
        <v>576</v>
      </c>
      <c r="B43" s="855">
        <v>43555</v>
      </c>
      <c r="C43" s="854" t="s">
        <v>1311</v>
      </c>
      <c r="D43" s="854" t="s">
        <v>921</v>
      </c>
      <c r="E43" s="854" t="s">
        <v>2695</v>
      </c>
      <c r="G43" s="856">
        <v>1057.5</v>
      </c>
    </row>
    <row r="44" spans="1:7" ht="14.6" x14ac:dyDescent="0.4">
      <c r="A44" s="854" t="s">
        <v>576</v>
      </c>
      <c r="B44" s="855">
        <v>43556</v>
      </c>
      <c r="C44" s="854" t="s">
        <v>1312</v>
      </c>
      <c r="D44" s="854" t="s">
        <v>661</v>
      </c>
      <c r="E44" s="854" t="s">
        <v>1338</v>
      </c>
      <c r="F44" s="856">
        <v>852.27</v>
      </c>
    </row>
    <row r="45" spans="1:7" ht="14.6" x14ac:dyDescent="0.4">
      <c r="A45" s="854" t="s">
        <v>576</v>
      </c>
      <c r="B45" s="855">
        <v>43556</v>
      </c>
      <c r="C45" s="854" t="s">
        <v>1313</v>
      </c>
      <c r="D45" s="854" t="s">
        <v>921</v>
      </c>
      <c r="E45" s="854" t="s">
        <v>930</v>
      </c>
      <c r="F45" s="856">
        <v>822.62</v>
      </c>
    </row>
    <row r="46" spans="1:7" ht="14.6" x14ac:dyDescent="0.4">
      <c r="A46" s="854" t="s">
        <v>576</v>
      </c>
      <c r="B46" s="855">
        <v>43556</v>
      </c>
      <c r="C46" s="854" t="s">
        <v>1314</v>
      </c>
      <c r="D46" s="854" t="s">
        <v>923</v>
      </c>
      <c r="E46" s="854" t="s">
        <v>933</v>
      </c>
      <c r="F46" s="856">
        <v>813.75</v>
      </c>
    </row>
    <row r="47" spans="1:7" ht="14.6" x14ac:dyDescent="0.4">
      <c r="A47" s="854" t="s">
        <v>576</v>
      </c>
      <c r="B47" s="855">
        <v>43560</v>
      </c>
      <c r="C47" s="854" t="s">
        <v>1315</v>
      </c>
      <c r="D47" s="854" t="s">
        <v>1320</v>
      </c>
      <c r="E47" s="854" t="s">
        <v>1339</v>
      </c>
      <c r="F47" s="856">
        <v>0</v>
      </c>
    </row>
    <row r="48" spans="1:7" ht="14.6" x14ac:dyDescent="0.4">
      <c r="A48" s="854" t="s">
        <v>576</v>
      </c>
      <c r="B48" s="855">
        <v>43560</v>
      </c>
      <c r="C48" s="854" t="s">
        <v>1315</v>
      </c>
      <c r="D48" s="854" t="s">
        <v>1320</v>
      </c>
      <c r="E48" s="854" t="s">
        <v>1332</v>
      </c>
      <c r="F48" s="856">
        <v>239.31</v>
      </c>
    </row>
    <row r="49" spans="1:6" ht="14.6" x14ac:dyDescent="0.4">
      <c r="A49" s="854" t="s">
        <v>576</v>
      </c>
      <c r="B49" s="855">
        <v>43560</v>
      </c>
      <c r="C49" s="854" t="s">
        <v>1315</v>
      </c>
      <c r="D49" s="854" t="s">
        <v>1320</v>
      </c>
      <c r="E49" s="854" t="s">
        <v>1333</v>
      </c>
      <c r="F49" s="856">
        <v>437.5</v>
      </c>
    </row>
    <row r="50" spans="1:6" ht="14.6" x14ac:dyDescent="0.4">
      <c r="A50" s="854" t="s">
        <v>576</v>
      </c>
      <c r="B50" s="855">
        <v>43560</v>
      </c>
      <c r="C50" s="854" t="s">
        <v>1238</v>
      </c>
      <c r="D50" s="854" t="s">
        <v>1323</v>
      </c>
      <c r="E50" s="854" t="s">
        <v>1340</v>
      </c>
      <c r="F50" s="856">
        <v>1491.5</v>
      </c>
    </row>
    <row r="51" spans="1:6" ht="14.6" x14ac:dyDescent="0.4">
      <c r="A51" s="854" t="s">
        <v>576</v>
      </c>
      <c r="B51" s="855">
        <v>43564</v>
      </c>
      <c r="C51" s="854" t="s">
        <v>1316</v>
      </c>
      <c r="D51" s="854" t="s">
        <v>922</v>
      </c>
      <c r="E51" s="854" t="s">
        <v>1620</v>
      </c>
      <c r="F51" s="856">
        <v>97.5</v>
      </c>
    </row>
    <row r="52" spans="1:6" ht="14.6" x14ac:dyDescent="0.4">
      <c r="A52" s="854" t="s">
        <v>576</v>
      </c>
      <c r="B52" s="855">
        <v>43564</v>
      </c>
      <c r="C52" s="854" t="s">
        <v>1317</v>
      </c>
      <c r="D52" s="854" t="s">
        <v>922</v>
      </c>
      <c r="E52" s="854" t="s">
        <v>1341</v>
      </c>
      <c r="F52" s="856">
        <v>575</v>
      </c>
    </row>
    <row r="53" spans="1:6" ht="14.6" x14ac:dyDescent="0.4">
      <c r="A53" s="854" t="s">
        <v>575</v>
      </c>
      <c r="B53" s="855">
        <v>43567</v>
      </c>
      <c r="C53" s="854" t="s">
        <v>1617</v>
      </c>
      <c r="D53" s="854" t="s">
        <v>685</v>
      </c>
      <c r="E53" s="854" t="s">
        <v>1621</v>
      </c>
      <c r="F53" s="856">
        <v>29.99</v>
      </c>
    </row>
    <row r="54" spans="1:6" ht="14.6" x14ac:dyDescent="0.4">
      <c r="A54" s="854" t="s">
        <v>575</v>
      </c>
      <c r="B54" s="855">
        <v>43567</v>
      </c>
      <c r="C54" s="854" t="s">
        <v>1617</v>
      </c>
      <c r="D54" s="854" t="s">
        <v>685</v>
      </c>
      <c r="E54" s="854" t="s">
        <v>1622</v>
      </c>
      <c r="F54" s="856">
        <v>29.99</v>
      </c>
    </row>
    <row r="55" spans="1:6" ht="14.6" x14ac:dyDescent="0.4">
      <c r="A55" s="854" t="s">
        <v>576</v>
      </c>
      <c r="B55" s="855">
        <v>43567</v>
      </c>
      <c r="C55" s="854" t="s">
        <v>1797</v>
      </c>
      <c r="D55" s="854" t="s">
        <v>929</v>
      </c>
      <c r="E55" s="854" t="s">
        <v>940</v>
      </c>
      <c r="F55" s="856">
        <v>133</v>
      </c>
    </row>
    <row r="56" spans="1:6" ht="14.6" x14ac:dyDescent="0.4">
      <c r="A56" s="854" t="s">
        <v>576</v>
      </c>
      <c r="B56" s="855">
        <v>43570</v>
      </c>
      <c r="C56" s="854" t="s">
        <v>1318</v>
      </c>
      <c r="D56" s="854" t="s">
        <v>1324</v>
      </c>
      <c r="E56" s="854" t="s">
        <v>1342</v>
      </c>
      <c r="F56" s="856">
        <v>294.8</v>
      </c>
    </row>
    <row r="57" spans="1:6" ht="14.6" x14ac:dyDescent="0.4">
      <c r="A57" s="854" t="s">
        <v>576</v>
      </c>
      <c r="B57" s="855">
        <v>43570</v>
      </c>
      <c r="C57" s="854" t="s">
        <v>1318</v>
      </c>
      <c r="D57" s="854" t="s">
        <v>1324</v>
      </c>
      <c r="E57" s="854" t="s">
        <v>1343</v>
      </c>
      <c r="F57" s="856">
        <v>409.2</v>
      </c>
    </row>
    <row r="58" spans="1:6" ht="14.6" x14ac:dyDescent="0.4">
      <c r="A58" s="854" t="s">
        <v>576</v>
      </c>
      <c r="B58" s="855">
        <v>43579</v>
      </c>
      <c r="C58" s="854" t="s">
        <v>1559</v>
      </c>
      <c r="D58" s="854" t="s">
        <v>594</v>
      </c>
      <c r="E58" s="854" t="s">
        <v>1623</v>
      </c>
      <c r="F58" s="856">
        <v>16.89</v>
      </c>
    </row>
    <row r="59" spans="1:6" ht="14.6" x14ac:dyDescent="0.4">
      <c r="A59" s="854" t="s">
        <v>576</v>
      </c>
      <c r="B59" s="855">
        <v>43580</v>
      </c>
      <c r="C59" s="854" t="s">
        <v>1500</v>
      </c>
      <c r="D59" s="854" t="s">
        <v>1207</v>
      </c>
      <c r="E59" s="854" t="s">
        <v>1505</v>
      </c>
      <c r="F59" s="856">
        <v>820</v>
      </c>
    </row>
    <row r="60" spans="1:6" ht="14.6" x14ac:dyDescent="0.4">
      <c r="A60" s="854" t="s">
        <v>576</v>
      </c>
      <c r="B60" s="855">
        <v>43580</v>
      </c>
      <c r="C60" s="854" t="s">
        <v>1500</v>
      </c>
      <c r="D60" s="854" t="s">
        <v>1207</v>
      </c>
      <c r="E60" s="854" t="s">
        <v>1506</v>
      </c>
      <c r="F60" s="856">
        <v>1102</v>
      </c>
    </row>
    <row r="61" spans="1:6" ht="14.6" x14ac:dyDescent="0.4">
      <c r="A61" s="854" t="s">
        <v>576</v>
      </c>
      <c r="B61" s="855">
        <v>43580</v>
      </c>
      <c r="C61" s="854" t="s">
        <v>1500</v>
      </c>
      <c r="D61" s="854" t="s">
        <v>1207</v>
      </c>
      <c r="E61" s="854" t="s">
        <v>1507</v>
      </c>
      <c r="F61" s="856">
        <v>854</v>
      </c>
    </row>
    <row r="62" spans="1:6" ht="14.6" x14ac:dyDescent="0.4">
      <c r="A62" s="854" t="s">
        <v>576</v>
      </c>
      <c r="B62" s="855">
        <v>43580</v>
      </c>
      <c r="C62" s="854" t="s">
        <v>1500</v>
      </c>
      <c r="D62" s="854" t="s">
        <v>1207</v>
      </c>
      <c r="E62" s="854" t="s">
        <v>1508</v>
      </c>
      <c r="F62" s="856">
        <v>225</v>
      </c>
    </row>
    <row r="63" spans="1:6" ht="14.6" x14ac:dyDescent="0.4">
      <c r="A63" s="854" t="s">
        <v>576</v>
      </c>
      <c r="B63" s="855">
        <v>43580</v>
      </c>
      <c r="C63" s="854" t="s">
        <v>1501</v>
      </c>
      <c r="D63" s="854" t="s">
        <v>924</v>
      </c>
      <c r="E63" s="854" t="s">
        <v>1509</v>
      </c>
      <c r="F63" s="856">
        <v>583.20000000000005</v>
      </c>
    </row>
    <row r="64" spans="1:6" ht="14.6" x14ac:dyDescent="0.4">
      <c r="A64" s="854" t="s">
        <v>576</v>
      </c>
      <c r="B64" s="855">
        <v>43581</v>
      </c>
      <c r="C64" s="854" t="s">
        <v>1502</v>
      </c>
      <c r="D64" s="854" t="s">
        <v>1504</v>
      </c>
      <c r="E64" s="854" t="s">
        <v>1510</v>
      </c>
      <c r="F64" s="856">
        <v>176</v>
      </c>
    </row>
    <row r="65" spans="1:6" ht="14.6" x14ac:dyDescent="0.4">
      <c r="A65" s="854" t="s">
        <v>576</v>
      </c>
      <c r="B65" s="855">
        <v>43585</v>
      </c>
      <c r="C65" s="854" t="s">
        <v>1618</v>
      </c>
      <c r="D65" s="854" t="s">
        <v>925</v>
      </c>
      <c r="E65" s="854" t="s">
        <v>1624</v>
      </c>
      <c r="F65" s="856">
        <v>112.5</v>
      </c>
    </row>
    <row r="66" spans="1:6" ht="14.6" x14ac:dyDescent="0.4">
      <c r="A66" s="854" t="s">
        <v>576</v>
      </c>
      <c r="B66" s="855">
        <v>43585</v>
      </c>
      <c r="C66" s="854" t="s">
        <v>1618</v>
      </c>
      <c r="D66" s="854" t="s">
        <v>925</v>
      </c>
      <c r="E66" s="854" t="s">
        <v>936</v>
      </c>
      <c r="F66" s="856">
        <v>250</v>
      </c>
    </row>
    <row r="67" spans="1:6" ht="14.6" x14ac:dyDescent="0.4">
      <c r="A67" s="854" t="s">
        <v>576</v>
      </c>
      <c r="B67" s="855">
        <v>43586</v>
      </c>
      <c r="C67" s="854" t="s">
        <v>1503</v>
      </c>
      <c r="D67" s="854" t="s">
        <v>1207</v>
      </c>
      <c r="E67" s="854" t="s">
        <v>1511</v>
      </c>
      <c r="F67" s="856">
        <v>2179</v>
      </c>
    </row>
    <row r="68" spans="1:6" ht="14.6" x14ac:dyDescent="0.4">
      <c r="A68" s="854" t="s">
        <v>576</v>
      </c>
      <c r="B68" s="855">
        <v>43586</v>
      </c>
      <c r="C68" s="854" t="s">
        <v>1619</v>
      </c>
      <c r="D68" s="854" t="s">
        <v>921</v>
      </c>
      <c r="E68" s="854" t="s">
        <v>930</v>
      </c>
      <c r="F68" s="856">
        <v>822.62</v>
      </c>
    </row>
    <row r="69" spans="1:6" ht="14.6" x14ac:dyDescent="0.4">
      <c r="A69" s="854" t="s">
        <v>576</v>
      </c>
      <c r="B69" s="855">
        <v>43586</v>
      </c>
      <c r="C69" s="854" t="s">
        <v>1798</v>
      </c>
      <c r="D69" s="854" t="s">
        <v>923</v>
      </c>
      <c r="E69" s="854" t="s">
        <v>933</v>
      </c>
      <c r="F69" s="856">
        <v>813.75</v>
      </c>
    </row>
    <row r="70" spans="1:6" ht="14.6" x14ac:dyDescent="0.4">
      <c r="A70" s="854" t="s">
        <v>575</v>
      </c>
      <c r="B70" s="855">
        <v>43600</v>
      </c>
      <c r="C70" s="854" t="s">
        <v>1799</v>
      </c>
      <c r="D70" s="854" t="s">
        <v>1812</v>
      </c>
      <c r="E70" s="854" t="s">
        <v>1814</v>
      </c>
      <c r="F70" s="856">
        <v>7.98</v>
      </c>
    </row>
    <row r="71" spans="1:6" ht="14.6" x14ac:dyDescent="0.4">
      <c r="A71" s="854" t="s">
        <v>575</v>
      </c>
      <c r="B71" s="855">
        <v>43600</v>
      </c>
      <c r="C71" s="854" t="s">
        <v>1799</v>
      </c>
      <c r="D71" s="854" t="s">
        <v>1812</v>
      </c>
      <c r="E71" s="854" t="s">
        <v>1815</v>
      </c>
      <c r="F71" s="856">
        <v>1.25</v>
      </c>
    </row>
    <row r="72" spans="1:6" ht="14.6" x14ac:dyDescent="0.4">
      <c r="A72" s="854" t="s">
        <v>575</v>
      </c>
      <c r="B72" s="855">
        <v>43600</v>
      </c>
      <c r="C72" s="854" t="s">
        <v>1799</v>
      </c>
      <c r="D72" s="854" t="s">
        <v>1812</v>
      </c>
      <c r="E72" s="854" t="s">
        <v>1816</v>
      </c>
      <c r="F72" s="856">
        <v>0.93</v>
      </c>
    </row>
    <row r="73" spans="1:6" ht="14.6" x14ac:dyDescent="0.4">
      <c r="A73" s="854" t="s">
        <v>575</v>
      </c>
      <c r="B73" s="855">
        <v>43600</v>
      </c>
      <c r="C73" s="854" t="s">
        <v>1799</v>
      </c>
      <c r="D73" s="854" t="s">
        <v>1812</v>
      </c>
      <c r="E73" s="854" t="s">
        <v>1817</v>
      </c>
      <c r="F73" s="856">
        <v>0.84</v>
      </c>
    </row>
    <row r="74" spans="1:6" ht="14.6" x14ac:dyDescent="0.4">
      <c r="A74" s="854" t="s">
        <v>576</v>
      </c>
      <c r="B74" s="855">
        <v>43607</v>
      </c>
      <c r="C74" s="854" t="s">
        <v>1730</v>
      </c>
      <c r="D74" s="854" t="s">
        <v>594</v>
      </c>
      <c r="E74" s="854" t="s">
        <v>1818</v>
      </c>
      <c r="F74" s="856">
        <v>199.96</v>
      </c>
    </row>
    <row r="75" spans="1:6" ht="14.6" x14ac:dyDescent="0.4">
      <c r="A75" s="854" t="s">
        <v>576</v>
      </c>
      <c r="B75" s="855">
        <v>43607</v>
      </c>
      <c r="C75" s="854" t="s">
        <v>1730</v>
      </c>
      <c r="D75" s="854" t="s">
        <v>594</v>
      </c>
      <c r="E75" s="854" t="s">
        <v>1819</v>
      </c>
      <c r="F75" s="856">
        <v>99.95</v>
      </c>
    </row>
    <row r="76" spans="1:6" ht="14.6" x14ac:dyDescent="0.4">
      <c r="A76" s="854" t="s">
        <v>576</v>
      </c>
      <c r="B76" s="855">
        <v>43614</v>
      </c>
      <c r="C76" s="854" t="s">
        <v>1800</v>
      </c>
      <c r="D76" s="854" t="s">
        <v>924</v>
      </c>
      <c r="E76" s="854" t="s">
        <v>1820</v>
      </c>
      <c r="F76" s="856">
        <v>313.42</v>
      </c>
    </row>
    <row r="77" spans="1:6" ht="14.6" x14ac:dyDescent="0.4">
      <c r="A77" s="854" t="s">
        <v>575</v>
      </c>
      <c r="B77" s="855">
        <v>43614</v>
      </c>
      <c r="C77" s="854" t="s">
        <v>1801</v>
      </c>
      <c r="D77" s="854" t="s">
        <v>685</v>
      </c>
      <c r="E77" s="854" t="s">
        <v>1821</v>
      </c>
      <c r="F77" s="856">
        <v>169.99</v>
      </c>
    </row>
    <row r="78" spans="1:6" ht="14.6" x14ac:dyDescent="0.4">
      <c r="A78" s="854" t="s">
        <v>575</v>
      </c>
      <c r="B78" s="855">
        <v>43614</v>
      </c>
      <c r="C78" s="854" t="s">
        <v>1801</v>
      </c>
      <c r="D78" s="854" t="s">
        <v>685</v>
      </c>
      <c r="E78" s="854" t="s">
        <v>1822</v>
      </c>
      <c r="F78" s="856">
        <v>99.99</v>
      </c>
    </row>
    <row r="79" spans="1:6" ht="14.6" x14ac:dyDescent="0.4">
      <c r="A79" s="854" t="s">
        <v>575</v>
      </c>
      <c r="B79" s="855">
        <v>43614</v>
      </c>
      <c r="C79" s="854" t="s">
        <v>1801</v>
      </c>
      <c r="D79" s="854" t="s">
        <v>685</v>
      </c>
      <c r="E79" s="854" t="s">
        <v>1823</v>
      </c>
      <c r="F79" s="856">
        <v>199.99</v>
      </c>
    </row>
    <row r="80" spans="1:6" ht="14.6" x14ac:dyDescent="0.4">
      <c r="A80" s="854" t="s">
        <v>575</v>
      </c>
      <c r="B80" s="855">
        <v>43614</v>
      </c>
      <c r="C80" s="854" t="s">
        <v>1801</v>
      </c>
      <c r="D80" s="854" t="s">
        <v>685</v>
      </c>
      <c r="E80" s="854" t="s">
        <v>1824</v>
      </c>
      <c r="F80" s="856">
        <v>39.99</v>
      </c>
    </row>
    <row r="81" spans="1:7" ht="14.6" x14ac:dyDescent="0.4">
      <c r="A81" s="854" t="s">
        <v>576</v>
      </c>
      <c r="B81" s="855">
        <v>43616</v>
      </c>
      <c r="C81" s="854" t="s">
        <v>1802</v>
      </c>
      <c r="D81" s="854" t="s">
        <v>921</v>
      </c>
      <c r="E81" s="854" t="s">
        <v>1825</v>
      </c>
      <c r="F81" s="856">
        <v>1923.44</v>
      </c>
    </row>
    <row r="82" spans="1:7" ht="14.6" x14ac:dyDescent="0.4">
      <c r="A82" s="854" t="s">
        <v>576</v>
      </c>
      <c r="B82" s="855">
        <v>43616</v>
      </c>
      <c r="C82" s="854" t="s">
        <v>1803</v>
      </c>
      <c r="D82" s="854" t="s">
        <v>921</v>
      </c>
      <c r="E82" s="854" t="s">
        <v>1825</v>
      </c>
      <c r="F82" s="856">
        <v>14759.17</v>
      </c>
    </row>
    <row r="83" spans="1:7" ht="14.6" x14ac:dyDescent="0.4">
      <c r="A83" s="854" t="s">
        <v>576</v>
      </c>
      <c r="B83" s="855">
        <v>43616</v>
      </c>
      <c r="C83" s="854" t="s">
        <v>1804</v>
      </c>
      <c r="D83" s="854" t="s">
        <v>925</v>
      </c>
      <c r="E83" s="854" t="s">
        <v>936</v>
      </c>
      <c r="F83" s="856">
        <v>250</v>
      </c>
    </row>
    <row r="84" spans="1:7" ht="14.6" x14ac:dyDescent="0.4">
      <c r="A84" s="854" t="s">
        <v>576</v>
      </c>
      <c r="B84" s="855">
        <v>43617</v>
      </c>
      <c r="C84" s="854" t="s">
        <v>1805</v>
      </c>
      <c r="D84" s="854" t="s">
        <v>1207</v>
      </c>
      <c r="E84" s="854" t="s">
        <v>1826</v>
      </c>
      <c r="F84" s="856">
        <v>2179</v>
      </c>
    </row>
    <row r="85" spans="1:7" ht="14.6" x14ac:dyDescent="0.4">
      <c r="A85" s="854" t="s">
        <v>576</v>
      </c>
      <c r="B85" s="855">
        <v>43617</v>
      </c>
      <c r="C85" s="854" t="s">
        <v>1806</v>
      </c>
      <c r="D85" s="854" t="s">
        <v>1813</v>
      </c>
      <c r="E85" s="854" t="s">
        <v>1827</v>
      </c>
      <c r="F85" s="856">
        <v>3540.64</v>
      </c>
    </row>
    <row r="86" spans="1:7" ht="14.6" x14ac:dyDescent="0.4">
      <c r="A86" s="854" t="s">
        <v>576</v>
      </c>
      <c r="B86" s="855">
        <v>43617</v>
      </c>
      <c r="C86" s="854" t="s">
        <v>1806</v>
      </c>
      <c r="D86" s="854" t="s">
        <v>1813</v>
      </c>
      <c r="E86" s="854" t="s">
        <v>1828</v>
      </c>
      <c r="F86" s="856">
        <v>-103.13</v>
      </c>
    </row>
    <row r="87" spans="1:7" ht="14.6" x14ac:dyDescent="0.4">
      <c r="A87" s="854" t="s">
        <v>576</v>
      </c>
      <c r="B87" s="855">
        <v>43617</v>
      </c>
      <c r="C87" s="854" t="s">
        <v>1807</v>
      </c>
      <c r="D87" s="854" t="s">
        <v>921</v>
      </c>
      <c r="E87" s="854" t="s">
        <v>930</v>
      </c>
      <c r="F87" s="856">
        <v>822.62</v>
      </c>
    </row>
    <row r="88" spans="1:7" ht="14.6" x14ac:dyDescent="0.4">
      <c r="A88" s="854" t="s">
        <v>576</v>
      </c>
      <c r="B88" s="855">
        <v>43617</v>
      </c>
      <c r="C88" s="854" t="s">
        <v>1808</v>
      </c>
      <c r="D88" s="854" t="s">
        <v>922</v>
      </c>
      <c r="E88" s="854" t="s">
        <v>931</v>
      </c>
      <c r="F88" s="856">
        <v>105</v>
      </c>
    </row>
    <row r="89" spans="1:7" ht="14.6" x14ac:dyDescent="0.4">
      <c r="A89" s="854" t="s">
        <v>576</v>
      </c>
      <c r="B89" s="855">
        <v>43617</v>
      </c>
      <c r="C89" s="854" t="s">
        <v>1809</v>
      </c>
      <c r="D89" s="854" t="s">
        <v>923</v>
      </c>
      <c r="E89" s="854" t="s">
        <v>933</v>
      </c>
      <c r="F89" s="856">
        <v>813.75</v>
      </c>
    </row>
    <row r="90" spans="1:7" ht="14.6" x14ac:dyDescent="0.4">
      <c r="A90" s="854" t="s">
        <v>576</v>
      </c>
      <c r="B90" s="855">
        <v>43622</v>
      </c>
      <c r="C90" s="854" t="s">
        <v>1810</v>
      </c>
      <c r="D90" s="854" t="s">
        <v>929</v>
      </c>
      <c r="E90" s="854" t="s">
        <v>940</v>
      </c>
      <c r="F90" s="856">
        <v>133</v>
      </c>
    </row>
    <row r="91" spans="1:7" ht="14.6" x14ac:dyDescent="0.4">
      <c r="A91" s="854" t="s">
        <v>689</v>
      </c>
      <c r="B91" s="855">
        <v>43622</v>
      </c>
      <c r="C91" s="854" t="s">
        <v>1811</v>
      </c>
      <c r="D91" s="854" t="s">
        <v>594</v>
      </c>
      <c r="E91" s="854" t="s">
        <v>1829</v>
      </c>
      <c r="F91" s="856">
        <v>-292.52999999999997</v>
      </c>
    </row>
    <row r="92" spans="1:7" ht="14.6" x14ac:dyDescent="0.4">
      <c r="A92" s="854" t="s">
        <v>576</v>
      </c>
      <c r="B92" s="855">
        <v>43642</v>
      </c>
      <c r="C92" s="854" t="s">
        <v>1986</v>
      </c>
      <c r="D92" s="854" t="s">
        <v>927</v>
      </c>
      <c r="E92" s="854" t="s">
        <v>938</v>
      </c>
      <c r="F92" s="856">
        <v>289</v>
      </c>
    </row>
    <row r="93" spans="1:7" ht="14.6" x14ac:dyDescent="0.4">
      <c r="A93" s="854" t="s">
        <v>576</v>
      </c>
      <c r="B93" s="855">
        <v>43643</v>
      </c>
      <c r="C93" s="854" t="s">
        <v>1987</v>
      </c>
      <c r="D93" s="854" t="s">
        <v>921</v>
      </c>
      <c r="E93" s="854" t="s">
        <v>1994</v>
      </c>
      <c r="G93" s="856">
        <v>0</v>
      </c>
    </row>
    <row r="94" spans="1:7" ht="14.6" x14ac:dyDescent="0.4">
      <c r="A94" s="854" t="s">
        <v>576</v>
      </c>
      <c r="B94" s="855">
        <v>43646</v>
      </c>
      <c r="C94" s="854" t="s">
        <v>1988</v>
      </c>
      <c r="D94" s="854" t="s">
        <v>925</v>
      </c>
      <c r="E94" s="854" t="s">
        <v>936</v>
      </c>
      <c r="F94" s="856">
        <v>250</v>
      </c>
    </row>
    <row r="95" spans="1:7" ht="14.6" x14ac:dyDescent="0.4">
      <c r="A95" s="854" t="s">
        <v>576</v>
      </c>
      <c r="B95" s="855">
        <v>43646</v>
      </c>
      <c r="C95" s="854" t="s">
        <v>1989</v>
      </c>
      <c r="D95" s="854" t="s">
        <v>922</v>
      </c>
      <c r="E95" s="854" t="s">
        <v>2949</v>
      </c>
      <c r="G95" s="856">
        <v>1000</v>
      </c>
    </row>
    <row r="96" spans="1:7" ht="14.6" x14ac:dyDescent="0.4">
      <c r="A96" s="854" t="s">
        <v>576</v>
      </c>
      <c r="B96" s="855">
        <v>43647</v>
      </c>
      <c r="C96" s="854" t="s">
        <v>1990</v>
      </c>
      <c r="D96" s="854" t="s">
        <v>1207</v>
      </c>
      <c r="E96" s="854" t="s">
        <v>1995</v>
      </c>
      <c r="F96" s="856">
        <v>2179</v>
      </c>
    </row>
    <row r="97" spans="1:6" ht="14.6" x14ac:dyDescent="0.4">
      <c r="A97" s="854" t="s">
        <v>576</v>
      </c>
      <c r="B97" s="855">
        <v>43647</v>
      </c>
      <c r="C97" s="854" t="s">
        <v>1991</v>
      </c>
      <c r="D97" s="854" t="s">
        <v>921</v>
      </c>
      <c r="E97" s="854" t="s">
        <v>930</v>
      </c>
      <c r="F97" s="856">
        <v>822.62</v>
      </c>
    </row>
    <row r="98" spans="1:6" ht="14.6" x14ac:dyDescent="0.4">
      <c r="A98" s="854" t="s">
        <v>576</v>
      </c>
      <c r="B98" s="855">
        <v>43647</v>
      </c>
      <c r="C98" s="854" t="s">
        <v>1992</v>
      </c>
      <c r="D98" s="854" t="s">
        <v>923</v>
      </c>
      <c r="E98" s="854" t="s">
        <v>933</v>
      </c>
      <c r="F98" s="856">
        <v>813.75</v>
      </c>
    </row>
    <row r="99" spans="1:6" ht="14.6" x14ac:dyDescent="0.4">
      <c r="A99" s="854" t="s">
        <v>576</v>
      </c>
      <c r="B99" s="855">
        <v>43665</v>
      </c>
      <c r="C99" s="854" t="s">
        <v>2363</v>
      </c>
      <c r="D99" s="854" t="s">
        <v>923</v>
      </c>
      <c r="E99" s="854" t="s">
        <v>2379</v>
      </c>
      <c r="F99" s="856">
        <v>354.68</v>
      </c>
    </row>
    <row r="100" spans="1:6" ht="14.6" x14ac:dyDescent="0.4">
      <c r="A100" s="854" t="s">
        <v>576</v>
      </c>
      <c r="B100" s="855">
        <v>43668</v>
      </c>
      <c r="C100" s="854" t="s">
        <v>2158</v>
      </c>
      <c r="D100" s="854" t="s">
        <v>594</v>
      </c>
      <c r="E100" s="854" t="s">
        <v>2380</v>
      </c>
      <c r="F100" s="856">
        <v>7.99</v>
      </c>
    </row>
    <row r="101" spans="1:6" ht="14.6" x14ac:dyDescent="0.4">
      <c r="A101" s="854" t="s">
        <v>576</v>
      </c>
      <c r="B101" s="855">
        <v>43669</v>
      </c>
      <c r="C101" s="854" t="s">
        <v>2364</v>
      </c>
      <c r="D101" s="854" t="s">
        <v>921</v>
      </c>
      <c r="E101" s="854" t="s">
        <v>1825</v>
      </c>
      <c r="F101" s="856">
        <v>637.34</v>
      </c>
    </row>
    <row r="102" spans="1:6" ht="14.6" x14ac:dyDescent="0.4">
      <c r="A102" s="854" t="s">
        <v>576</v>
      </c>
      <c r="B102" s="855">
        <v>43672</v>
      </c>
      <c r="C102" s="854" t="s">
        <v>2365</v>
      </c>
      <c r="D102" s="854" t="s">
        <v>921</v>
      </c>
      <c r="E102" s="854" t="s">
        <v>1825</v>
      </c>
      <c r="F102" s="856">
        <v>1755.8</v>
      </c>
    </row>
    <row r="103" spans="1:6" ht="14.6" x14ac:dyDescent="0.4">
      <c r="A103" s="854" t="s">
        <v>576</v>
      </c>
      <c r="B103" s="855">
        <v>43676</v>
      </c>
      <c r="C103" s="854" t="s">
        <v>2366</v>
      </c>
      <c r="D103" s="854" t="s">
        <v>927</v>
      </c>
      <c r="E103" s="854" t="s">
        <v>938</v>
      </c>
      <c r="F103" s="856">
        <v>399</v>
      </c>
    </row>
    <row r="104" spans="1:6" ht="14.6" x14ac:dyDescent="0.4">
      <c r="A104" s="854" t="s">
        <v>576</v>
      </c>
      <c r="B104" s="855">
        <v>43677</v>
      </c>
      <c r="C104" s="854" t="s">
        <v>2367</v>
      </c>
      <c r="D104" s="854" t="s">
        <v>925</v>
      </c>
      <c r="E104" s="854" t="s">
        <v>2381</v>
      </c>
      <c r="F104" s="856">
        <v>41.52</v>
      </c>
    </row>
    <row r="105" spans="1:6" ht="14.6" x14ac:dyDescent="0.4">
      <c r="A105" s="854" t="s">
        <v>576</v>
      </c>
      <c r="B105" s="855">
        <v>43677</v>
      </c>
      <c r="C105" s="854" t="s">
        <v>2367</v>
      </c>
      <c r="D105" s="854" t="s">
        <v>925</v>
      </c>
      <c r="E105" s="854" t="s">
        <v>936</v>
      </c>
      <c r="F105" s="856">
        <v>250</v>
      </c>
    </row>
    <row r="106" spans="1:6" ht="14.6" x14ac:dyDescent="0.4">
      <c r="A106" s="854" t="s">
        <v>576</v>
      </c>
      <c r="B106" s="855">
        <v>43678</v>
      </c>
      <c r="C106" s="854" t="s">
        <v>2368</v>
      </c>
      <c r="D106" s="854" t="s">
        <v>1207</v>
      </c>
      <c r="E106" s="854" t="s">
        <v>2382</v>
      </c>
      <c r="F106" s="856">
        <v>2179</v>
      </c>
    </row>
    <row r="107" spans="1:6" ht="14.6" x14ac:dyDescent="0.4">
      <c r="A107" s="854" t="s">
        <v>576</v>
      </c>
      <c r="B107" s="855">
        <v>43678</v>
      </c>
      <c r="C107" s="854" t="s">
        <v>2369</v>
      </c>
      <c r="D107" s="854" t="s">
        <v>921</v>
      </c>
      <c r="E107" s="854" t="s">
        <v>930</v>
      </c>
      <c r="F107" s="856">
        <v>822.62</v>
      </c>
    </row>
    <row r="108" spans="1:6" ht="14.6" x14ac:dyDescent="0.4">
      <c r="A108" s="854" t="s">
        <v>576</v>
      </c>
      <c r="B108" s="855">
        <v>43678</v>
      </c>
      <c r="C108" s="854" t="s">
        <v>2370</v>
      </c>
      <c r="D108" s="854" t="s">
        <v>923</v>
      </c>
      <c r="E108" s="854" t="s">
        <v>933</v>
      </c>
      <c r="F108" s="856">
        <v>813.75</v>
      </c>
    </row>
    <row r="109" spans="1:6" ht="14.6" x14ac:dyDescent="0.4">
      <c r="A109" s="854" t="s">
        <v>576</v>
      </c>
      <c r="B109" s="855">
        <v>43679</v>
      </c>
      <c r="C109" s="854" t="s">
        <v>2371</v>
      </c>
      <c r="D109" s="854" t="s">
        <v>929</v>
      </c>
      <c r="E109" s="854" t="s">
        <v>940</v>
      </c>
      <c r="F109" s="856">
        <v>133</v>
      </c>
    </row>
    <row r="110" spans="1:6" ht="14.6" x14ac:dyDescent="0.4">
      <c r="A110" s="854" t="s">
        <v>576</v>
      </c>
      <c r="B110" s="855">
        <v>43679</v>
      </c>
      <c r="C110" s="854" t="s">
        <v>2372</v>
      </c>
      <c r="D110" s="854" t="s">
        <v>927</v>
      </c>
      <c r="E110" s="854" t="s">
        <v>938</v>
      </c>
      <c r="F110" s="856">
        <v>234</v>
      </c>
    </row>
    <row r="111" spans="1:6" ht="14.6" x14ac:dyDescent="0.4">
      <c r="A111" s="854" t="s">
        <v>576</v>
      </c>
      <c r="B111" s="855">
        <v>43698</v>
      </c>
      <c r="C111" s="854" t="s">
        <v>2373</v>
      </c>
      <c r="D111" s="854" t="s">
        <v>921</v>
      </c>
      <c r="E111" s="854" t="s">
        <v>1825</v>
      </c>
      <c r="F111" s="856">
        <v>1616.6</v>
      </c>
    </row>
    <row r="112" spans="1:6" ht="14.6" x14ac:dyDescent="0.4">
      <c r="A112" s="854" t="s">
        <v>576</v>
      </c>
      <c r="B112" s="855">
        <v>43703</v>
      </c>
      <c r="C112" s="854" t="s">
        <v>2374</v>
      </c>
      <c r="D112" s="854" t="s">
        <v>927</v>
      </c>
      <c r="E112" s="854" t="s">
        <v>938</v>
      </c>
      <c r="F112" s="856">
        <v>289</v>
      </c>
    </row>
    <row r="113" spans="1:7" ht="14.6" x14ac:dyDescent="0.4">
      <c r="A113" s="854" t="s">
        <v>576</v>
      </c>
      <c r="B113" s="855">
        <v>43708</v>
      </c>
      <c r="C113" s="854" t="s">
        <v>2375</v>
      </c>
      <c r="D113" s="854" t="s">
        <v>925</v>
      </c>
      <c r="E113" s="854" t="s">
        <v>2381</v>
      </c>
      <c r="F113" s="856">
        <v>41.52</v>
      </c>
    </row>
    <row r="114" spans="1:7" ht="14.6" x14ac:dyDescent="0.4">
      <c r="A114" s="854" t="s">
        <v>576</v>
      </c>
      <c r="B114" s="855">
        <v>43708</v>
      </c>
      <c r="C114" s="854" t="s">
        <v>2375</v>
      </c>
      <c r="D114" s="854" t="s">
        <v>925</v>
      </c>
      <c r="E114" s="854" t="s">
        <v>936</v>
      </c>
      <c r="F114" s="856">
        <v>250</v>
      </c>
    </row>
    <row r="115" spans="1:7" ht="14.6" x14ac:dyDescent="0.4">
      <c r="A115" s="854" t="s">
        <v>576</v>
      </c>
      <c r="B115" s="855">
        <v>43709</v>
      </c>
      <c r="C115" s="854" t="s">
        <v>2376</v>
      </c>
      <c r="D115" s="854" t="s">
        <v>1207</v>
      </c>
      <c r="E115" s="854" t="s">
        <v>2383</v>
      </c>
      <c r="F115" s="856">
        <v>2179</v>
      </c>
    </row>
    <row r="116" spans="1:7" ht="14.6" x14ac:dyDescent="0.4">
      <c r="A116" s="854" t="s">
        <v>576</v>
      </c>
      <c r="B116" s="855">
        <v>43709</v>
      </c>
      <c r="C116" s="854" t="s">
        <v>2377</v>
      </c>
      <c r="D116" s="854" t="s">
        <v>922</v>
      </c>
      <c r="E116" s="854" t="s">
        <v>931</v>
      </c>
      <c r="F116" s="856">
        <v>105</v>
      </c>
    </row>
    <row r="117" spans="1:7" ht="14.6" x14ac:dyDescent="0.4">
      <c r="A117" s="854" t="s">
        <v>576</v>
      </c>
      <c r="B117" s="855">
        <v>43709</v>
      </c>
      <c r="C117" s="854" t="s">
        <v>2649</v>
      </c>
      <c r="D117" s="854" t="s">
        <v>923</v>
      </c>
      <c r="E117" s="854" t="s">
        <v>933</v>
      </c>
      <c r="F117" s="856">
        <v>813.75</v>
      </c>
    </row>
    <row r="118" spans="1:7" ht="14.6" x14ac:dyDescent="0.4">
      <c r="A118" s="854" t="s">
        <v>576</v>
      </c>
      <c r="B118" s="855">
        <v>43719</v>
      </c>
      <c r="C118" s="854" t="s">
        <v>2378</v>
      </c>
      <c r="D118" s="854" t="s">
        <v>926</v>
      </c>
      <c r="E118" s="854" t="s">
        <v>2384</v>
      </c>
      <c r="F118" s="856">
        <v>210</v>
      </c>
    </row>
    <row r="119" spans="1:7" ht="14.6" x14ac:dyDescent="0.4">
      <c r="A119" s="854" t="s">
        <v>576</v>
      </c>
      <c r="B119" s="855">
        <v>43721</v>
      </c>
      <c r="C119" s="854" t="s">
        <v>2179</v>
      </c>
      <c r="D119" s="854" t="s">
        <v>1813</v>
      </c>
      <c r="E119" s="854" t="s">
        <v>2385</v>
      </c>
      <c r="F119" s="856">
        <v>202</v>
      </c>
    </row>
    <row r="120" spans="1:7" ht="14.6" x14ac:dyDescent="0.4">
      <c r="A120" s="854" t="s">
        <v>576</v>
      </c>
      <c r="B120" s="855">
        <v>43726</v>
      </c>
      <c r="C120" s="854" t="s">
        <v>2650</v>
      </c>
      <c r="D120" s="854" t="s">
        <v>2666</v>
      </c>
      <c r="E120" s="854" t="s">
        <v>2667</v>
      </c>
      <c r="G120" s="856">
        <v>2694.59</v>
      </c>
    </row>
    <row r="121" spans="1:7" ht="14.6" x14ac:dyDescent="0.4">
      <c r="A121" s="854" t="s">
        <v>576</v>
      </c>
      <c r="B121" s="855">
        <v>43726</v>
      </c>
      <c r="C121" s="854" t="s">
        <v>2650</v>
      </c>
      <c r="D121" s="854" t="s">
        <v>2666</v>
      </c>
      <c r="E121" s="854" t="s">
        <v>2668</v>
      </c>
      <c r="G121" s="856">
        <v>81.92</v>
      </c>
    </row>
    <row r="122" spans="1:7" ht="14.6" x14ac:dyDescent="0.4">
      <c r="A122" s="854" t="s">
        <v>576</v>
      </c>
      <c r="B122" s="855">
        <v>43726</v>
      </c>
      <c r="C122" s="854" t="s">
        <v>2651</v>
      </c>
      <c r="D122" s="854" t="s">
        <v>921</v>
      </c>
      <c r="E122" s="854" t="s">
        <v>930</v>
      </c>
      <c r="F122" s="856">
        <v>1104.1300000000001</v>
      </c>
    </row>
    <row r="123" spans="1:7" ht="14.6" x14ac:dyDescent="0.4">
      <c r="A123" s="854" t="s">
        <v>576</v>
      </c>
      <c r="B123" s="855">
        <v>43728</v>
      </c>
      <c r="C123" s="854" t="s">
        <v>2652</v>
      </c>
      <c r="D123" s="854" t="s">
        <v>924</v>
      </c>
      <c r="E123" s="854" t="s">
        <v>1820</v>
      </c>
      <c r="F123" s="856">
        <v>1375.75</v>
      </c>
    </row>
    <row r="124" spans="1:7" ht="14.6" x14ac:dyDescent="0.4">
      <c r="A124" s="854" t="s">
        <v>576</v>
      </c>
      <c r="B124" s="855">
        <v>43730</v>
      </c>
      <c r="C124" s="854" t="s">
        <v>2508</v>
      </c>
      <c r="D124" s="854" t="s">
        <v>598</v>
      </c>
      <c r="E124" s="854" t="s">
        <v>2669</v>
      </c>
      <c r="F124" s="856">
        <v>12.98</v>
      </c>
    </row>
    <row r="125" spans="1:7" ht="14.6" x14ac:dyDescent="0.4">
      <c r="A125" s="854" t="s">
        <v>576</v>
      </c>
      <c r="B125" s="855">
        <v>43730</v>
      </c>
      <c r="C125" s="854" t="s">
        <v>2508</v>
      </c>
      <c r="D125" s="854" t="s">
        <v>598</v>
      </c>
      <c r="E125" s="854" t="s">
        <v>2670</v>
      </c>
      <c r="F125" s="856">
        <v>22.95</v>
      </c>
    </row>
    <row r="126" spans="1:7" ht="14.6" x14ac:dyDescent="0.4">
      <c r="A126" s="854" t="s">
        <v>576</v>
      </c>
      <c r="B126" s="855">
        <v>43730</v>
      </c>
      <c r="C126" s="854" t="s">
        <v>2461</v>
      </c>
      <c r="D126" s="854" t="s">
        <v>594</v>
      </c>
      <c r="E126" s="854" t="s">
        <v>2671</v>
      </c>
      <c r="G126" s="856">
        <v>6017.83</v>
      </c>
    </row>
    <row r="127" spans="1:7" ht="14.6" x14ac:dyDescent="0.4">
      <c r="A127" s="854" t="s">
        <v>576</v>
      </c>
      <c r="B127" s="855">
        <v>43738</v>
      </c>
      <c r="C127" s="854" t="s">
        <v>2653</v>
      </c>
      <c r="D127" s="854" t="s">
        <v>925</v>
      </c>
      <c r="E127" s="854" t="s">
        <v>2381</v>
      </c>
      <c r="F127" s="856">
        <v>41.52</v>
      </c>
    </row>
    <row r="128" spans="1:7" ht="14.6" x14ac:dyDescent="0.4">
      <c r="A128" s="854" t="s">
        <v>576</v>
      </c>
      <c r="B128" s="855">
        <v>43738</v>
      </c>
      <c r="C128" s="854" t="s">
        <v>2653</v>
      </c>
      <c r="D128" s="854" t="s">
        <v>925</v>
      </c>
      <c r="E128" s="854" t="s">
        <v>936</v>
      </c>
      <c r="F128" s="856">
        <v>250</v>
      </c>
    </row>
    <row r="129" spans="1:7" ht="14.6" x14ac:dyDescent="0.4">
      <c r="A129" s="854" t="s">
        <v>576</v>
      </c>
      <c r="B129" s="855">
        <v>43738</v>
      </c>
      <c r="C129" s="854" t="s">
        <v>2653</v>
      </c>
      <c r="D129" s="854" t="s">
        <v>925</v>
      </c>
      <c r="E129" s="854" t="s">
        <v>2672</v>
      </c>
      <c r="F129" s="856">
        <v>28.08</v>
      </c>
    </row>
    <row r="130" spans="1:7" ht="14.6" x14ac:dyDescent="0.4">
      <c r="A130" s="854" t="s">
        <v>576</v>
      </c>
      <c r="B130" s="855">
        <v>43739</v>
      </c>
      <c r="C130" s="854" t="s">
        <v>2654</v>
      </c>
      <c r="D130" s="854" t="s">
        <v>929</v>
      </c>
      <c r="E130" s="854" t="s">
        <v>940</v>
      </c>
      <c r="F130" s="856">
        <v>133</v>
      </c>
    </row>
    <row r="131" spans="1:7" ht="14.6" x14ac:dyDescent="0.4">
      <c r="A131" s="854" t="s">
        <v>576</v>
      </c>
      <c r="B131" s="855">
        <v>43739</v>
      </c>
      <c r="C131" s="854" t="s">
        <v>2655</v>
      </c>
      <c r="D131" s="854" t="s">
        <v>923</v>
      </c>
      <c r="E131" s="854" t="s">
        <v>2673</v>
      </c>
      <c r="F131" s="856">
        <v>73.2</v>
      </c>
    </row>
    <row r="132" spans="1:7" ht="14.6" x14ac:dyDescent="0.4">
      <c r="A132" s="854" t="s">
        <v>576</v>
      </c>
      <c r="B132" s="855">
        <v>43739</v>
      </c>
      <c r="C132" s="854" t="s">
        <v>2656</v>
      </c>
      <c r="D132" s="854" t="s">
        <v>923</v>
      </c>
      <c r="E132" s="854" t="s">
        <v>2673</v>
      </c>
      <c r="F132" s="856">
        <v>74.430000000000007</v>
      </c>
    </row>
    <row r="133" spans="1:7" ht="14.6" x14ac:dyDescent="0.4">
      <c r="A133" s="854" t="s">
        <v>576</v>
      </c>
      <c r="B133" s="855">
        <v>43739</v>
      </c>
      <c r="C133" s="854" t="s">
        <v>2657</v>
      </c>
      <c r="D133" s="854" t="s">
        <v>1207</v>
      </c>
      <c r="E133" s="854" t="s">
        <v>2674</v>
      </c>
      <c r="F133" s="856">
        <v>2179</v>
      </c>
    </row>
    <row r="134" spans="1:7" ht="14.6" x14ac:dyDescent="0.4">
      <c r="A134" s="854" t="s">
        <v>576</v>
      </c>
      <c r="B134" s="855">
        <v>43739</v>
      </c>
      <c r="C134" s="854" t="s">
        <v>2658</v>
      </c>
      <c r="D134" s="854" t="s">
        <v>921</v>
      </c>
      <c r="E134" s="854" t="s">
        <v>930</v>
      </c>
      <c r="F134" s="856">
        <v>1104.17</v>
      </c>
    </row>
    <row r="135" spans="1:7" ht="14.6" x14ac:dyDescent="0.4">
      <c r="A135" s="854" t="s">
        <v>576</v>
      </c>
      <c r="B135" s="855">
        <v>43739</v>
      </c>
      <c r="C135" s="854" t="s">
        <v>2937</v>
      </c>
      <c r="D135" s="854" t="s">
        <v>923</v>
      </c>
      <c r="E135" s="854" t="s">
        <v>933</v>
      </c>
      <c r="F135" s="856">
        <v>813.75</v>
      </c>
    </row>
    <row r="136" spans="1:7" ht="14.6" x14ac:dyDescent="0.4">
      <c r="A136" s="854" t="s">
        <v>576</v>
      </c>
      <c r="B136" s="855">
        <v>43740</v>
      </c>
      <c r="C136" s="854" t="s">
        <v>2659</v>
      </c>
      <c r="D136" s="854" t="s">
        <v>929</v>
      </c>
      <c r="E136" s="854" t="s">
        <v>2675</v>
      </c>
      <c r="F136" s="856">
        <v>45</v>
      </c>
    </row>
    <row r="137" spans="1:7" ht="14.6" x14ac:dyDescent="0.4">
      <c r="A137" s="854" t="s">
        <v>576</v>
      </c>
      <c r="B137" s="855">
        <v>43743</v>
      </c>
      <c r="C137" s="854" t="s">
        <v>2660</v>
      </c>
      <c r="D137" s="854" t="s">
        <v>2045</v>
      </c>
      <c r="E137" s="854" t="s">
        <v>2676</v>
      </c>
      <c r="G137" s="856">
        <v>7650</v>
      </c>
    </row>
    <row r="138" spans="1:7" ht="14.6" x14ac:dyDescent="0.4">
      <c r="A138" s="854" t="s">
        <v>576</v>
      </c>
      <c r="B138" s="855">
        <v>43743</v>
      </c>
      <c r="C138" s="854" t="s">
        <v>2660</v>
      </c>
      <c r="D138" s="854" t="s">
        <v>2045</v>
      </c>
      <c r="E138" s="854" t="s">
        <v>2677</v>
      </c>
      <c r="G138" s="856">
        <v>5400</v>
      </c>
    </row>
    <row r="139" spans="1:7" ht="14.6" x14ac:dyDescent="0.4">
      <c r="A139" s="854" t="s">
        <v>576</v>
      </c>
      <c r="B139" s="855">
        <v>43743</v>
      </c>
      <c r="C139" s="854" t="s">
        <v>2660</v>
      </c>
      <c r="D139" s="854" t="s">
        <v>2045</v>
      </c>
      <c r="E139" s="854" t="s">
        <v>2678</v>
      </c>
      <c r="G139" s="856">
        <v>240</v>
      </c>
    </row>
    <row r="140" spans="1:7" ht="14.6" x14ac:dyDescent="0.4">
      <c r="A140" s="854" t="s">
        <v>576</v>
      </c>
      <c r="B140" s="855">
        <v>43743</v>
      </c>
      <c r="C140" s="854" t="s">
        <v>2660</v>
      </c>
      <c r="D140" s="854" t="s">
        <v>2045</v>
      </c>
      <c r="E140" s="854" t="s">
        <v>2679</v>
      </c>
      <c r="G140" s="856">
        <v>240</v>
      </c>
    </row>
    <row r="141" spans="1:7" ht="14.6" x14ac:dyDescent="0.4">
      <c r="A141" s="854" t="s">
        <v>576</v>
      </c>
      <c r="B141" s="855">
        <v>43743</v>
      </c>
      <c r="C141" s="854" t="s">
        <v>2660</v>
      </c>
      <c r="D141" s="854" t="s">
        <v>2045</v>
      </c>
      <c r="E141" s="854" t="s">
        <v>2680</v>
      </c>
      <c r="G141" s="856">
        <v>380</v>
      </c>
    </row>
    <row r="142" spans="1:7" ht="14.6" x14ac:dyDescent="0.4">
      <c r="A142" s="854" t="s">
        <v>576</v>
      </c>
      <c r="B142" s="855">
        <v>43743</v>
      </c>
      <c r="C142" s="854" t="s">
        <v>2660</v>
      </c>
      <c r="D142" s="854" t="s">
        <v>2045</v>
      </c>
      <c r="E142" s="854" t="s">
        <v>2681</v>
      </c>
      <c r="G142" s="856">
        <v>875</v>
      </c>
    </row>
    <row r="143" spans="1:7" ht="14.6" x14ac:dyDescent="0.4">
      <c r="A143" s="854" t="s">
        <v>576</v>
      </c>
      <c r="B143" s="855">
        <v>43743</v>
      </c>
      <c r="C143" s="854" t="s">
        <v>2660</v>
      </c>
      <c r="D143" s="854" t="s">
        <v>2045</v>
      </c>
      <c r="E143" s="854" t="s">
        <v>2682</v>
      </c>
      <c r="G143" s="856">
        <v>825</v>
      </c>
    </row>
    <row r="144" spans="1:7" ht="14.6" x14ac:dyDescent="0.4">
      <c r="A144" s="854" t="s">
        <v>576</v>
      </c>
      <c r="B144" s="855">
        <v>43743</v>
      </c>
      <c r="C144" s="854" t="s">
        <v>2660</v>
      </c>
      <c r="D144" s="854" t="s">
        <v>2045</v>
      </c>
      <c r="E144" s="854" t="s">
        <v>2683</v>
      </c>
      <c r="G144" s="856">
        <v>320</v>
      </c>
    </row>
    <row r="145" spans="1:7" ht="14.6" x14ac:dyDescent="0.4">
      <c r="A145" s="854" t="s">
        <v>576</v>
      </c>
      <c r="B145" s="855">
        <v>43743</v>
      </c>
      <c r="C145" s="854" t="s">
        <v>2660</v>
      </c>
      <c r="D145" s="854" t="s">
        <v>2045</v>
      </c>
      <c r="E145" s="854" t="s">
        <v>2684</v>
      </c>
      <c r="G145" s="856">
        <v>600</v>
      </c>
    </row>
    <row r="146" spans="1:7" ht="14.6" x14ac:dyDescent="0.4">
      <c r="A146" s="854" t="s">
        <v>576</v>
      </c>
      <c r="B146" s="855">
        <v>43743</v>
      </c>
      <c r="C146" s="854" t="s">
        <v>2660</v>
      </c>
      <c r="D146" s="854" t="s">
        <v>2045</v>
      </c>
      <c r="E146" s="854" t="s">
        <v>2685</v>
      </c>
      <c r="G146" s="856">
        <v>300</v>
      </c>
    </row>
    <row r="147" spans="1:7" ht="14.6" x14ac:dyDescent="0.4">
      <c r="A147" s="854" t="s">
        <v>576</v>
      </c>
      <c r="B147" s="855">
        <v>43743</v>
      </c>
      <c r="C147" s="854" t="s">
        <v>2660</v>
      </c>
      <c r="D147" s="854" t="s">
        <v>2045</v>
      </c>
      <c r="E147" s="854" t="s">
        <v>2686</v>
      </c>
      <c r="G147" s="856">
        <v>870</v>
      </c>
    </row>
    <row r="148" spans="1:7" ht="14.6" x14ac:dyDescent="0.4">
      <c r="A148" s="854" t="s">
        <v>576</v>
      </c>
      <c r="B148" s="855">
        <v>43743</v>
      </c>
      <c r="C148" s="854" t="s">
        <v>2660</v>
      </c>
      <c r="D148" s="854" t="s">
        <v>2045</v>
      </c>
      <c r="E148" s="854" t="s">
        <v>2687</v>
      </c>
      <c r="G148" s="856">
        <v>4600</v>
      </c>
    </row>
    <row r="149" spans="1:7" ht="14.6" x14ac:dyDescent="0.4">
      <c r="A149" s="854" t="s">
        <v>576</v>
      </c>
      <c r="B149" s="855">
        <v>43744</v>
      </c>
      <c r="C149" s="854" t="s">
        <v>2661</v>
      </c>
      <c r="D149" s="854" t="s">
        <v>2666</v>
      </c>
      <c r="E149" s="854" t="s">
        <v>2668</v>
      </c>
      <c r="G149" s="856">
        <v>163.84</v>
      </c>
    </row>
    <row r="150" spans="1:7" ht="14.6" x14ac:dyDescent="0.4">
      <c r="A150" s="854" t="s">
        <v>576</v>
      </c>
      <c r="B150" s="855">
        <v>43752</v>
      </c>
      <c r="C150" s="854" t="s">
        <v>2823</v>
      </c>
      <c r="D150" s="854" t="s">
        <v>594</v>
      </c>
      <c r="E150" s="854" t="s">
        <v>2950</v>
      </c>
      <c r="F150" s="856">
        <v>3.88</v>
      </c>
    </row>
    <row r="151" spans="1:7" ht="14.6" x14ac:dyDescent="0.4">
      <c r="A151" s="854" t="s">
        <v>576</v>
      </c>
      <c r="B151" s="855">
        <v>43752</v>
      </c>
      <c r="C151" s="854" t="s">
        <v>2823</v>
      </c>
      <c r="D151" s="854" t="s">
        <v>594</v>
      </c>
      <c r="E151" s="854" t="s">
        <v>2951</v>
      </c>
      <c r="F151" s="856">
        <v>11.93</v>
      </c>
    </row>
    <row r="152" spans="1:7" ht="14.6" x14ac:dyDescent="0.4">
      <c r="A152" s="854" t="s">
        <v>576</v>
      </c>
      <c r="B152" s="855">
        <v>43752</v>
      </c>
      <c r="C152" s="854" t="s">
        <v>2823</v>
      </c>
      <c r="D152" s="854" t="s">
        <v>594</v>
      </c>
      <c r="E152" s="854" t="s">
        <v>2952</v>
      </c>
      <c r="F152" s="856">
        <v>23.97</v>
      </c>
    </row>
    <row r="153" spans="1:7" ht="14.6" x14ac:dyDescent="0.4">
      <c r="A153" s="854" t="s">
        <v>575</v>
      </c>
      <c r="B153" s="855">
        <v>43754</v>
      </c>
      <c r="C153" s="854" t="s">
        <v>2938</v>
      </c>
      <c r="D153" s="854" t="s">
        <v>1319</v>
      </c>
      <c r="E153" s="854" t="s">
        <v>2953</v>
      </c>
      <c r="F153" s="856">
        <v>21.75</v>
      </c>
    </row>
    <row r="154" spans="1:7" ht="14.6" x14ac:dyDescent="0.4">
      <c r="A154" s="854" t="s">
        <v>575</v>
      </c>
      <c r="B154" s="855">
        <v>43754</v>
      </c>
      <c r="C154" s="854" t="s">
        <v>2939</v>
      </c>
      <c r="D154" s="854" t="s">
        <v>1319</v>
      </c>
      <c r="E154" s="854" t="s">
        <v>2953</v>
      </c>
      <c r="F154" s="856">
        <v>4.72</v>
      </c>
    </row>
    <row r="155" spans="1:7" ht="14.6" x14ac:dyDescent="0.4">
      <c r="A155" s="854" t="s">
        <v>576</v>
      </c>
      <c r="B155" s="855">
        <v>43756</v>
      </c>
      <c r="C155" s="854" t="s">
        <v>2662</v>
      </c>
      <c r="D155" s="854" t="s">
        <v>927</v>
      </c>
      <c r="E155" s="854" t="s">
        <v>938</v>
      </c>
      <c r="F155" s="856">
        <v>374</v>
      </c>
    </row>
    <row r="156" spans="1:7" ht="14.6" x14ac:dyDescent="0.4">
      <c r="A156" s="854" t="s">
        <v>576</v>
      </c>
      <c r="B156" s="855">
        <v>43761</v>
      </c>
      <c r="C156" s="854" t="s">
        <v>2663</v>
      </c>
      <c r="D156" s="854" t="s">
        <v>594</v>
      </c>
      <c r="E156" s="854" t="s">
        <v>2688</v>
      </c>
      <c r="F156" s="856">
        <v>0</v>
      </c>
    </row>
    <row r="157" spans="1:7" ht="14.6" x14ac:dyDescent="0.4">
      <c r="A157" s="854" t="s">
        <v>576</v>
      </c>
      <c r="B157" s="855">
        <v>43761</v>
      </c>
      <c r="C157" s="854" t="s">
        <v>2663</v>
      </c>
      <c r="D157" s="854" t="s">
        <v>594</v>
      </c>
      <c r="E157" s="854" t="s">
        <v>2689</v>
      </c>
      <c r="F157" s="856">
        <v>90</v>
      </c>
    </row>
    <row r="158" spans="1:7" ht="14.6" x14ac:dyDescent="0.4">
      <c r="A158" s="854" t="s">
        <v>576</v>
      </c>
      <c r="B158" s="855">
        <v>43761</v>
      </c>
      <c r="C158" s="854" t="s">
        <v>2663</v>
      </c>
      <c r="D158" s="854" t="s">
        <v>594</v>
      </c>
      <c r="E158" s="854" t="s">
        <v>2690</v>
      </c>
      <c r="F158" s="856">
        <v>76.56</v>
      </c>
    </row>
    <row r="159" spans="1:7" ht="14.6" x14ac:dyDescent="0.4">
      <c r="A159" s="854" t="s">
        <v>576</v>
      </c>
      <c r="B159" s="855">
        <v>43761</v>
      </c>
      <c r="C159" s="854" t="s">
        <v>2663</v>
      </c>
      <c r="D159" s="854" t="s">
        <v>594</v>
      </c>
      <c r="E159" s="854" t="s">
        <v>2691</v>
      </c>
      <c r="F159" s="856">
        <v>0</v>
      </c>
    </row>
    <row r="160" spans="1:7" ht="14.6" x14ac:dyDescent="0.4">
      <c r="A160" s="854" t="s">
        <v>576</v>
      </c>
      <c r="B160" s="855">
        <v>43761</v>
      </c>
      <c r="C160" s="854" t="s">
        <v>2664</v>
      </c>
      <c r="D160" s="854" t="s">
        <v>594</v>
      </c>
      <c r="E160" s="854" t="s">
        <v>2688</v>
      </c>
      <c r="F160" s="856">
        <v>13.09</v>
      </c>
    </row>
    <row r="161" spans="1:6" ht="14.6" x14ac:dyDescent="0.4">
      <c r="A161" s="854" t="s">
        <v>576</v>
      </c>
      <c r="B161" s="855">
        <v>43761</v>
      </c>
      <c r="C161" s="854" t="s">
        <v>2664</v>
      </c>
      <c r="D161" s="854" t="s">
        <v>594</v>
      </c>
      <c r="E161" s="854" t="s">
        <v>2691</v>
      </c>
      <c r="F161" s="856">
        <v>38.06</v>
      </c>
    </row>
    <row r="162" spans="1:6" ht="14.6" x14ac:dyDescent="0.4">
      <c r="A162" s="854" t="s">
        <v>576</v>
      </c>
      <c r="B162" s="855">
        <v>43766</v>
      </c>
      <c r="C162" s="854" t="s">
        <v>2940</v>
      </c>
      <c r="D162" s="854" t="s">
        <v>1321</v>
      </c>
      <c r="E162" s="854" t="s">
        <v>2954</v>
      </c>
      <c r="F162" s="856">
        <v>260</v>
      </c>
    </row>
    <row r="163" spans="1:6" ht="14.6" x14ac:dyDescent="0.4">
      <c r="A163" s="854" t="s">
        <v>576</v>
      </c>
      <c r="B163" s="855">
        <v>43768</v>
      </c>
      <c r="C163" s="854" t="s">
        <v>2808</v>
      </c>
      <c r="D163" s="854" t="s">
        <v>2809</v>
      </c>
      <c r="E163" s="854" t="s">
        <v>2955</v>
      </c>
      <c r="F163" s="856">
        <v>28</v>
      </c>
    </row>
    <row r="164" spans="1:6" ht="14.6" x14ac:dyDescent="0.4">
      <c r="A164" s="854" t="s">
        <v>576</v>
      </c>
      <c r="B164" s="855">
        <v>43768</v>
      </c>
      <c r="C164" s="854" t="s">
        <v>2808</v>
      </c>
      <c r="D164" s="854" t="s">
        <v>2809</v>
      </c>
      <c r="E164" s="854" t="s">
        <v>2956</v>
      </c>
      <c r="F164" s="856">
        <v>15</v>
      </c>
    </row>
    <row r="165" spans="1:6" ht="14.6" x14ac:dyDescent="0.4">
      <c r="A165" s="854" t="s">
        <v>576</v>
      </c>
      <c r="B165" s="855">
        <v>43768</v>
      </c>
      <c r="C165" s="854" t="s">
        <v>2808</v>
      </c>
      <c r="D165" s="854" t="s">
        <v>2809</v>
      </c>
      <c r="E165" s="854" t="s">
        <v>2957</v>
      </c>
      <c r="F165" s="856">
        <v>760</v>
      </c>
    </row>
    <row r="166" spans="1:6" ht="14.6" x14ac:dyDescent="0.4">
      <c r="A166" s="854" t="s">
        <v>576</v>
      </c>
      <c r="B166" s="855">
        <v>43769</v>
      </c>
      <c r="C166" s="854" t="s">
        <v>2941</v>
      </c>
      <c r="D166" s="854" t="s">
        <v>925</v>
      </c>
      <c r="E166" s="854" t="s">
        <v>2381</v>
      </c>
      <c r="F166" s="856">
        <v>41.52</v>
      </c>
    </row>
    <row r="167" spans="1:6" ht="14.6" x14ac:dyDescent="0.4">
      <c r="A167" s="854" t="s">
        <v>576</v>
      </c>
      <c r="B167" s="855">
        <v>43769</v>
      </c>
      <c r="C167" s="854" t="s">
        <v>2941</v>
      </c>
      <c r="D167" s="854" t="s">
        <v>925</v>
      </c>
      <c r="E167" s="854" t="s">
        <v>936</v>
      </c>
      <c r="F167" s="856">
        <v>250</v>
      </c>
    </row>
    <row r="168" spans="1:6" ht="14.6" x14ac:dyDescent="0.4">
      <c r="A168" s="854" t="s">
        <v>576</v>
      </c>
      <c r="B168" s="855">
        <v>43769</v>
      </c>
      <c r="C168" s="854" t="s">
        <v>2942</v>
      </c>
      <c r="D168" s="854" t="s">
        <v>926</v>
      </c>
      <c r="E168" s="854" t="s">
        <v>2384</v>
      </c>
      <c r="F168" s="856">
        <v>875</v>
      </c>
    </row>
    <row r="169" spans="1:6" ht="14.6" x14ac:dyDescent="0.4">
      <c r="A169" s="854" t="s">
        <v>576</v>
      </c>
      <c r="B169" s="855">
        <v>43769</v>
      </c>
      <c r="C169" s="854" t="s">
        <v>2943</v>
      </c>
      <c r="D169" s="854" t="s">
        <v>926</v>
      </c>
      <c r="E169" s="854" t="s">
        <v>2384</v>
      </c>
      <c r="F169" s="856">
        <v>525</v>
      </c>
    </row>
    <row r="170" spans="1:6" ht="14.6" x14ac:dyDescent="0.4">
      <c r="A170" s="854" t="s">
        <v>576</v>
      </c>
      <c r="B170" s="855">
        <v>43770</v>
      </c>
      <c r="C170" s="854" t="s">
        <v>2665</v>
      </c>
      <c r="D170" s="854" t="s">
        <v>1207</v>
      </c>
      <c r="E170" s="854" t="s">
        <v>2692</v>
      </c>
      <c r="F170" s="856">
        <v>2179</v>
      </c>
    </row>
    <row r="171" spans="1:6" ht="14.6" x14ac:dyDescent="0.4">
      <c r="A171" s="854" t="s">
        <v>576</v>
      </c>
      <c r="B171" s="855">
        <v>43770</v>
      </c>
      <c r="C171" s="854" t="s">
        <v>2944</v>
      </c>
      <c r="D171" s="854" t="s">
        <v>921</v>
      </c>
      <c r="E171" s="854" t="s">
        <v>930</v>
      </c>
      <c r="F171" s="856">
        <v>1104.17</v>
      </c>
    </row>
    <row r="172" spans="1:6" ht="14.6" x14ac:dyDescent="0.4">
      <c r="A172" s="854" t="s">
        <v>576</v>
      </c>
      <c r="B172" s="855">
        <v>43770</v>
      </c>
      <c r="C172" s="854" t="s">
        <v>2945</v>
      </c>
      <c r="D172" s="854" t="s">
        <v>923</v>
      </c>
      <c r="E172" s="854" t="s">
        <v>933</v>
      </c>
      <c r="F172" s="856">
        <v>813.75</v>
      </c>
    </row>
    <row r="173" spans="1:6" ht="14.6" x14ac:dyDescent="0.4">
      <c r="A173" s="854" t="s">
        <v>576</v>
      </c>
      <c r="B173" s="855">
        <v>43783</v>
      </c>
      <c r="C173" s="854" t="s">
        <v>2555</v>
      </c>
      <c r="D173" s="854" t="s">
        <v>1747</v>
      </c>
      <c r="E173" s="854" t="s">
        <v>2958</v>
      </c>
      <c r="F173" s="856">
        <v>20</v>
      </c>
    </row>
    <row r="174" spans="1:6" ht="14.6" x14ac:dyDescent="0.4">
      <c r="A174" s="854" t="s">
        <v>576</v>
      </c>
      <c r="B174" s="855">
        <v>43784</v>
      </c>
      <c r="C174" s="854" t="s">
        <v>2946</v>
      </c>
      <c r="D174" s="854" t="s">
        <v>921</v>
      </c>
      <c r="E174" s="854" t="s">
        <v>1825</v>
      </c>
      <c r="F174" s="856">
        <v>906.2</v>
      </c>
    </row>
    <row r="175" spans="1:6" ht="14.6" x14ac:dyDescent="0.4">
      <c r="A175" s="854" t="s">
        <v>576</v>
      </c>
      <c r="B175" s="855">
        <v>43784</v>
      </c>
      <c r="C175" s="854" t="s">
        <v>2947</v>
      </c>
      <c r="D175" s="854" t="s">
        <v>927</v>
      </c>
      <c r="E175" s="854" t="s">
        <v>938</v>
      </c>
      <c r="F175" s="856">
        <v>734</v>
      </c>
    </row>
    <row r="176" spans="1:6" ht="14.6" x14ac:dyDescent="0.4">
      <c r="A176" s="854" t="s">
        <v>575</v>
      </c>
      <c r="B176" s="855">
        <v>43784</v>
      </c>
      <c r="C176" s="854" t="s">
        <v>3173</v>
      </c>
      <c r="D176" s="854" t="s">
        <v>1319</v>
      </c>
      <c r="E176" s="854" t="s">
        <v>2810</v>
      </c>
      <c r="F176" s="856">
        <v>0</v>
      </c>
    </row>
    <row r="177" spans="1:7" ht="14.6" x14ac:dyDescent="0.4">
      <c r="A177" s="854" t="s">
        <v>575</v>
      </c>
      <c r="B177" s="855">
        <v>43784</v>
      </c>
      <c r="C177" s="854" t="s">
        <v>3173</v>
      </c>
      <c r="D177" s="854" t="s">
        <v>1319</v>
      </c>
      <c r="E177" s="854" t="s">
        <v>3188</v>
      </c>
      <c r="F177" s="856">
        <v>21.75</v>
      </c>
    </row>
    <row r="178" spans="1:7" ht="14.6" x14ac:dyDescent="0.4">
      <c r="A178" s="854" t="s">
        <v>575</v>
      </c>
      <c r="B178" s="855">
        <v>43784</v>
      </c>
      <c r="C178" s="854" t="s">
        <v>3173</v>
      </c>
      <c r="D178" s="854" t="s">
        <v>1319</v>
      </c>
      <c r="E178" s="854" t="s">
        <v>3189</v>
      </c>
      <c r="F178" s="856">
        <v>16.940000000000001</v>
      </c>
    </row>
    <row r="179" spans="1:7" ht="14.6" x14ac:dyDescent="0.4">
      <c r="A179" s="854" t="s">
        <v>575</v>
      </c>
      <c r="B179" s="855">
        <v>43784</v>
      </c>
      <c r="C179" s="854" t="s">
        <v>3173</v>
      </c>
      <c r="D179" s="854" t="s">
        <v>1319</v>
      </c>
      <c r="E179" s="854" t="s">
        <v>3190</v>
      </c>
      <c r="F179" s="856">
        <v>41.98</v>
      </c>
    </row>
    <row r="180" spans="1:7" ht="14.6" x14ac:dyDescent="0.4">
      <c r="A180" s="854" t="s">
        <v>575</v>
      </c>
      <c r="B180" s="855">
        <v>43784</v>
      </c>
      <c r="C180" s="854" t="s">
        <v>3173</v>
      </c>
      <c r="D180" s="854" t="s">
        <v>1319</v>
      </c>
      <c r="E180" s="854" t="s">
        <v>3191</v>
      </c>
      <c r="F180" s="856">
        <v>12.98</v>
      </c>
    </row>
    <row r="181" spans="1:7" ht="14.6" x14ac:dyDescent="0.4">
      <c r="A181" s="854" t="s">
        <v>575</v>
      </c>
      <c r="B181" s="855">
        <v>43784</v>
      </c>
      <c r="C181" s="854" t="s">
        <v>3173</v>
      </c>
      <c r="D181" s="854" t="s">
        <v>1319</v>
      </c>
      <c r="E181" s="854" t="s">
        <v>3192</v>
      </c>
      <c r="F181" s="856">
        <v>5.97</v>
      </c>
    </row>
    <row r="182" spans="1:7" ht="15" customHeight="1" x14ac:dyDescent="0.4">
      <c r="A182" s="854" t="s">
        <v>576</v>
      </c>
      <c r="B182" s="855">
        <v>43788</v>
      </c>
      <c r="C182" s="854" t="s">
        <v>3174</v>
      </c>
      <c r="D182" s="854" t="s">
        <v>929</v>
      </c>
      <c r="E182" s="854" t="s">
        <v>940</v>
      </c>
      <c r="F182" s="856">
        <v>115</v>
      </c>
    </row>
    <row r="183" spans="1:7" ht="15" customHeight="1" x14ac:dyDescent="0.4">
      <c r="A183" s="854" t="s">
        <v>576</v>
      </c>
      <c r="B183" s="855">
        <v>43788</v>
      </c>
      <c r="C183" s="854" t="s">
        <v>3174</v>
      </c>
      <c r="D183" s="854" t="s">
        <v>929</v>
      </c>
      <c r="E183" s="854" t="s">
        <v>3193</v>
      </c>
      <c r="F183" s="856">
        <v>18</v>
      </c>
    </row>
    <row r="184" spans="1:7" ht="15" customHeight="1" x14ac:dyDescent="0.4">
      <c r="A184" s="854" t="s">
        <v>576</v>
      </c>
      <c r="B184" s="855">
        <v>43788</v>
      </c>
      <c r="C184" s="854" t="s">
        <v>3174</v>
      </c>
      <c r="D184" s="854" t="s">
        <v>929</v>
      </c>
      <c r="E184" s="854" t="s">
        <v>3194</v>
      </c>
      <c r="F184" s="856">
        <v>40</v>
      </c>
    </row>
    <row r="185" spans="1:7" ht="15" customHeight="1" x14ac:dyDescent="0.4">
      <c r="A185" s="854" t="s">
        <v>576</v>
      </c>
      <c r="B185" s="855">
        <v>43788</v>
      </c>
      <c r="C185" s="854" t="s">
        <v>3174</v>
      </c>
      <c r="D185" s="854" t="s">
        <v>929</v>
      </c>
      <c r="E185" s="854" t="s">
        <v>3195</v>
      </c>
      <c r="F185" s="856">
        <v>40</v>
      </c>
    </row>
    <row r="186" spans="1:7" ht="15" customHeight="1" x14ac:dyDescent="0.4">
      <c r="A186" s="854" t="s">
        <v>576</v>
      </c>
      <c r="B186" s="855">
        <v>43789</v>
      </c>
      <c r="C186" s="854" t="s">
        <v>2814</v>
      </c>
      <c r="D186" s="854" t="s">
        <v>598</v>
      </c>
      <c r="E186" s="854" t="s">
        <v>2959</v>
      </c>
      <c r="F186" s="856">
        <v>64.989999999999995</v>
      </c>
    </row>
    <row r="187" spans="1:7" ht="15" customHeight="1" x14ac:dyDescent="0.4">
      <c r="A187" s="854" t="s">
        <v>576</v>
      </c>
      <c r="B187" s="855">
        <v>43791</v>
      </c>
      <c r="C187" s="854" t="s">
        <v>2948</v>
      </c>
      <c r="D187" s="854" t="s">
        <v>924</v>
      </c>
      <c r="E187" s="854" t="s">
        <v>2960</v>
      </c>
      <c r="F187" s="856">
        <v>237.6</v>
      </c>
    </row>
    <row r="188" spans="1:7" ht="15" customHeight="1" x14ac:dyDescent="0.4">
      <c r="A188" s="854" t="s">
        <v>576</v>
      </c>
      <c r="B188" s="855">
        <v>43791</v>
      </c>
      <c r="C188" s="854" t="s">
        <v>2948</v>
      </c>
      <c r="D188" s="854" t="s">
        <v>924</v>
      </c>
      <c r="E188" s="854" t="s">
        <v>3196</v>
      </c>
      <c r="F188" s="856">
        <v>345.6</v>
      </c>
    </row>
    <row r="189" spans="1:7" ht="15" customHeight="1" x14ac:dyDescent="0.4">
      <c r="A189" s="854" t="s">
        <v>576</v>
      </c>
      <c r="B189" s="855">
        <v>43792</v>
      </c>
      <c r="C189" s="854" t="s">
        <v>3175</v>
      </c>
      <c r="D189" s="854" t="s">
        <v>3186</v>
      </c>
      <c r="E189" s="854" t="s">
        <v>3197</v>
      </c>
      <c r="F189" s="856">
        <v>5399</v>
      </c>
    </row>
    <row r="190" spans="1:7" ht="15" customHeight="1" x14ac:dyDescent="0.4">
      <c r="A190" s="854" t="s">
        <v>576</v>
      </c>
      <c r="B190" s="855">
        <v>43796</v>
      </c>
      <c r="C190" s="854" t="s">
        <v>3176</v>
      </c>
      <c r="D190" s="854" t="s">
        <v>924</v>
      </c>
      <c r="E190" s="854" t="s">
        <v>3198</v>
      </c>
      <c r="F190" s="856">
        <v>263</v>
      </c>
    </row>
    <row r="191" spans="1:7" ht="15" customHeight="1" x14ac:dyDescent="0.4">
      <c r="A191" s="854" t="s">
        <v>576</v>
      </c>
      <c r="B191" s="855">
        <v>43799</v>
      </c>
      <c r="C191" s="854" t="s">
        <v>3177</v>
      </c>
      <c r="D191" s="854" t="s">
        <v>921</v>
      </c>
      <c r="E191" s="854" t="s">
        <v>3199</v>
      </c>
      <c r="G191" s="856">
        <v>0</v>
      </c>
    </row>
    <row r="192" spans="1:7" ht="15" customHeight="1" x14ac:dyDescent="0.4">
      <c r="A192" s="854" t="s">
        <v>576</v>
      </c>
      <c r="B192" s="855">
        <v>43799</v>
      </c>
      <c r="C192" s="854" t="s">
        <v>3178</v>
      </c>
      <c r="D192" s="854" t="s">
        <v>925</v>
      </c>
      <c r="E192" s="854" t="s">
        <v>2381</v>
      </c>
      <c r="F192" s="856">
        <v>41.52</v>
      </c>
    </row>
    <row r="193" spans="1:8" ht="15" customHeight="1" x14ac:dyDescent="0.4">
      <c r="A193" s="854" t="s">
        <v>576</v>
      </c>
      <c r="B193" s="855">
        <v>43799</v>
      </c>
      <c r="C193" s="854" t="s">
        <v>3178</v>
      </c>
      <c r="D193" s="854" t="s">
        <v>925</v>
      </c>
      <c r="E193" s="854" t="s">
        <v>936</v>
      </c>
      <c r="F193" s="856">
        <v>250</v>
      </c>
    </row>
    <row r="194" spans="1:8" ht="15" customHeight="1" x14ac:dyDescent="0.4">
      <c r="A194" s="854" t="s">
        <v>576</v>
      </c>
      <c r="B194" s="855">
        <v>43800</v>
      </c>
      <c r="C194" s="854" t="s">
        <v>3179</v>
      </c>
      <c r="D194" s="854" t="s">
        <v>1207</v>
      </c>
      <c r="E194" s="854" t="s">
        <v>3200</v>
      </c>
      <c r="F194" s="856">
        <v>2179</v>
      </c>
    </row>
    <row r="195" spans="1:8" ht="15" customHeight="1" x14ac:dyDescent="0.4">
      <c r="A195" s="854" t="s">
        <v>576</v>
      </c>
      <c r="B195" s="855">
        <v>43800</v>
      </c>
      <c r="C195" s="854" t="s">
        <v>3180</v>
      </c>
      <c r="D195" s="854" t="s">
        <v>921</v>
      </c>
      <c r="E195" s="854" t="s">
        <v>930</v>
      </c>
      <c r="F195" s="856">
        <v>1104.17</v>
      </c>
    </row>
    <row r="196" spans="1:8" ht="15" customHeight="1" x14ac:dyDescent="0.4">
      <c r="A196" s="854" t="s">
        <v>576</v>
      </c>
      <c r="B196" s="855">
        <v>43808</v>
      </c>
      <c r="C196" s="854" t="s">
        <v>3181</v>
      </c>
      <c r="D196" s="854" t="s">
        <v>923</v>
      </c>
      <c r="E196" s="854" t="s">
        <v>933</v>
      </c>
      <c r="F196" s="856">
        <v>813.75</v>
      </c>
    </row>
    <row r="197" spans="1:8" ht="15" customHeight="1" x14ac:dyDescent="0.4">
      <c r="A197" s="854" t="s">
        <v>576</v>
      </c>
      <c r="B197" s="855">
        <v>43810</v>
      </c>
      <c r="C197" s="854" t="s">
        <v>3182</v>
      </c>
      <c r="D197" s="854" t="s">
        <v>926</v>
      </c>
      <c r="E197" s="854" t="s">
        <v>2384</v>
      </c>
      <c r="F197" s="856">
        <v>175</v>
      </c>
    </row>
    <row r="198" spans="1:8" ht="15" customHeight="1" x14ac:dyDescent="0.4">
      <c r="A198" s="854" t="s">
        <v>576</v>
      </c>
      <c r="B198" s="855">
        <v>43814</v>
      </c>
      <c r="C198" s="854" t="s">
        <v>3183</v>
      </c>
      <c r="D198" s="854" t="s">
        <v>3187</v>
      </c>
      <c r="E198" s="854" t="s">
        <v>3201</v>
      </c>
      <c r="F198" s="856">
        <v>5316.36</v>
      </c>
    </row>
    <row r="199" spans="1:8" ht="15" customHeight="1" x14ac:dyDescent="0.4">
      <c r="A199" s="854" t="s">
        <v>576</v>
      </c>
      <c r="B199" s="855">
        <v>43819</v>
      </c>
      <c r="C199" s="854" t="s">
        <v>3184</v>
      </c>
      <c r="D199" s="854" t="s">
        <v>925</v>
      </c>
      <c r="E199" s="854" t="s">
        <v>2810</v>
      </c>
      <c r="F199" s="856">
        <v>0</v>
      </c>
    </row>
    <row r="200" spans="1:8" ht="15" customHeight="1" x14ac:dyDescent="0.4">
      <c r="A200" s="854" t="s">
        <v>576</v>
      </c>
      <c r="B200" s="855">
        <v>43819</v>
      </c>
      <c r="C200" s="854" t="s">
        <v>3184</v>
      </c>
      <c r="D200" s="854" t="s">
        <v>925</v>
      </c>
      <c r="E200" s="854" t="s">
        <v>3202</v>
      </c>
      <c r="F200" s="856">
        <v>1645</v>
      </c>
    </row>
    <row r="201" spans="1:8" ht="15" customHeight="1" x14ac:dyDescent="0.4">
      <c r="A201" s="854" t="s">
        <v>576</v>
      </c>
      <c r="B201" s="855">
        <v>43819</v>
      </c>
      <c r="C201" s="854" t="s">
        <v>3184</v>
      </c>
      <c r="D201" s="854" t="s">
        <v>925</v>
      </c>
      <c r="E201" s="854" t="s">
        <v>3203</v>
      </c>
      <c r="F201" s="856">
        <v>755</v>
      </c>
    </row>
    <row r="202" spans="1:8" ht="15" customHeight="1" x14ac:dyDescent="0.4">
      <c r="A202" s="854" t="s">
        <v>576</v>
      </c>
      <c r="B202" s="855">
        <v>43819</v>
      </c>
      <c r="C202" s="854" t="s">
        <v>3184</v>
      </c>
      <c r="D202" s="854" t="s">
        <v>925</v>
      </c>
      <c r="E202" s="854" t="s">
        <v>3204</v>
      </c>
      <c r="F202" s="856">
        <v>20.75</v>
      </c>
    </row>
    <row r="203" spans="1:8" ht="15" customHeight="1" x14ac:dyDescent="0.4">
      <c r="A203" s="854" t="s">
        <v>576</v>
      </c>
      <c r="B203" s="855">
        <v>43819</v>
      </c>
      <c r="C203" s="854" t="s">
        <v>3184</v>
      </c>
      <c r="D203" s="854" t="s">
        <v>925</v>
      </c>
      <c r="E203" s="854" t="s">
        <v>3205</v>
      </c>
      <c r="F203" s="856">
        <v>180</v>
      </c>
    </row>
    <row r="204" spans="1:8" ht="15" customHeight="1" x14ac:dyDescent="0.4">
      <c r="A204" s="854" t="s">
        <v>576</v>
      </c>
      <c r="B204" s="855">
        <v>43819</v>
      </c>
      <c r="C204" s="854" t="s">
        <v>3184</v>
      </c>
      <c r="D204" s="854" t="s">
        <v>925</v>
      </c>
      <c r="E204" s="854" t="s">
        <v>3206</v>
      </c>
      <c r="F204" s="856">
        <v>250</v>
      </c>
    </row>
    <row r="205" spans="1:8" ht="15" customHeight="1" x14ac:dyDescent="0.4">
      <c r="A205" s="854" t="s">
        <v>576</v>
      </c>
      <c r="B205" s="855">
        <v>43819</v>
      </c>
      <c r="C205" s="854" t="s">
        <v>3184</v>
      </c>
      <c r="D205" s="854" t="s">
        <v>925</v>
      </c>
      <c r="E205" s="854" t="s">
        <v>3207</v>
      </c>
      <c r="F205" s="856">
        <v>150</v>
      </c>
    </row>
    <row r="206" spans="1:8" ht="15" customHeight="1" x14ac:dyDescent="0.4">
      <c r="A206" s="854" t="s">
        <v>576</v>
      </c>
      <c r="B206" s="855">
        <v>43830</v>
      </c>
      <c r="C206" s="854" t="s">
        <v>3185</v>
      </c>
      <c r="D206" s="854" t="s">
        <v>925</v>
      </c>
      <c r="E206" s="854" t="s">
        <v>2381</v>
      </c>
      <c r="F206" s="856">
        <v>41.52</v>
      </c>
    </row>
    <row r="207" spans="1:8" ht="15" customHeight="1" thickBot="1" x14ac:dyDescent="0.45">
      <c r="A207" s="854" t="s">
        <v>576</v>
      </c>
      <c r="B207" s="855">
        <v>43830</v>
      </c>
      <c r="C207" s="854" t="s">
        <v>3185</v>
      </c>
      <c r="D207" s="854" t="s">
        <v>925</v>
      </c>
      <c r="E207" s="854" t="s">
        <v>936</v>
      </c>
      <c r="F207" s="857">
        <v>250</v>
      </c>
    </row>
    <row r="208" spans="1:8" ht="15" customHeight="1" thickBot="1" x14ac:dyDescent="0.45">
      <c r="A208" s="854"/>
      <c r="B208" s="855"/>
      <c r="C208" s="854"/>
      <c r="D208" s="854"/>
      <c r="E208" s="854"/>
      <c r="F208" s="858">
        <f>ROUND(SUM(F3:F207),5)</f>
        <v>111831.31</v>
      </c>
      <c r="G208">
        <f>SUM(G4:G207)</f>
        <v>54640.679999999993</v>
      </c>
      <c r="H208" s="856">
        <f>SUM(F208:G208)</f>
        <v>166471.99</v>
      </c>
    </row>
    <row r="209" spans="1:6" ht="15" customHeight="1" thickBot="1" x14ac:dyDescent="0.45">
      <c r="A209" s="854"/>
      <c r="B209" s="855"/>
      <c r="C209" s="854"/>
      <c r="D209" s="854"/>
      <c r="E209" s="854"/>
      <c r="F209" s="858">
        <f>F208</f>
        <v>111831.31</v>
      </c>
    </row>
    <row r="210" spans="1:6" ht="15" customHeight="1" thickBot="1" x14ac:dyDescent="0.45">
      <c r="A210" s="854"/>
      <c r="B210" s="855"/>
      <c r="C210" s="854"/>
      <c r="D210" s="854"/>
      <c r="E210" s="854"/>
      <c r="F210" s="859">
        <f>F209</f>
        <v>111831.31</v>
      </c>
    </row>
    <row r="211" spans="1:6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4:13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459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4596" r:id="rId4" name="HEADER"/>
      </mc:Fallback>
    </mc:AlternateContent>
    <mc:AlternateContent xmlns:mc="http://schemas.openxmlformats.org/markup-compatibility/2006">
      <mc:Choice Requires="x14">
        <control shapeId="2459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4595" r:id="rId6" name="FILTER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F33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D1" sqref="A1:D1048576"/>
    </sheetView>
  </sheetViews>
  <sheetFormatPr defaultColWidth="14.3828125" defaultRowHeight="15" customHeight="1" x14ac:dyDescent="0.4"/>
  <cols>
    <col min="1" max="1" width="5.3046875" style="861" bestFit="1" customWidth="1"/>
    <col min="2" max="2" width="10.69140625" style="861" bestFit="1" customWidth="1"/>
    <col min="3" max="3" width="12.3046875" style="861" bestFit="1" customWidth="1"/>
    <col min="4" max="4" width="13.53515625" style="861" bestFit="1" customWidth="1"/>
    <col min="5" max="5" width="30.69140625" style="861" customWidth="1"/>
    <col min="6" max="6" width="9.15234375" style="861" bestFit="1" customWidth="1"/>
  </cols>
  <sheetData>
    <row r="1" spans="1:6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43475</v>
      </c>
      <c r="C4" s="854" t="s">
        <v>710</v>
      </c>
      <c r="D4" s="854" t="s">
        <v>946</v>
      </c>
      <c r="E4" s="854" t="s">
        <v>947</v>
      </c>
      <c r="F4" s="856">
        <v>650</v>
      </c>
    </row>
    <row r="5" spans="1:6" ht="14.6" x14ac:dyDescent="0.4">
      <c r="A5" s="854" t="s">
        <v>576</v>
      </c>
      <c r="B5" s="855">
        <v>43475</v>
      </c>
      <c r="C5" s="854" t="s">
        <v>710</v>
      </c>
      <c r="D5" s="854" t="s">
        <v>946</v>
      </c>
      <c r="E5" s="854" t="s">
        <v>948</v>
      </c>
      <c r="F5" s="856">
        <v>150</v>
      </c>
    </row>
    <row r="6" spans="1:6" ht="14.6" x14ac:dyDescent="0.4">
      <c r="A6" s="854" t="s">
        <v>576</v>
      </c>
      <c r="B6" s="855">
        <v>43479</v>
      </c>
      <c r="C6" s="854" t="s">
        <v>944</v>
      </c>
      <c r="D6" s="854" t="s">
        <v>739</v>
      </c>
      <c r="E6" s="854" t="s">
        <v>949</v>
      </c>
      <c r="F6" s="856">
        <v>335</v>
      </c>
    </row>
    <row r="7" spans="1:6" ht="14.6" x14ac:dyDescent="0.4">
      <c r="A7" s="854" t="s">
        <v>576</v>
      </c>
      <c r="B7" s="855">
        <v>43502</v>
      </c>
      <c r="C7" s="854" t="s">
        <v>723</v>
      </c>
      <c r="D7" s="854" t="s">
        <v>946</v>
      </c>
      <c r="E7" s="854" t="s">
        <v>950</v>
      </c>
      <c r="F7" s="856">
        <v>650</v>
      </c>
    </row>
    <row r="8" spans="1:6" ht="14.6" x14ac:dyDescent="0.4">
      <c r="A8" s="854" t="s">
        <v>576</v>
      </c>
      <c r="B8" s="855">
        <v>43502</v>
      </c>
      <c r="C8" s="854" t="s">
        <v>723</v>
      </c>
      <c r="D8" s="854" t="s">
        <v>946</v>
      </c>
      <c r="E8" s="854" t="s">
        <v>951</v>
      </c>
      <c r="F8" s="856">
        <v>150</v>
      </c>
    </row>
    <row r="9" spans="1:6" ht="14.6" x14ac:dyDescent="0.4">
      <c r="A9" s="854" t="s">
        <v>576</v>
      </c>
      <c r="B9" s="855">
        <v>43528</v>
      </c>
      <c r="C9" s="854" t="s">
        <v>945</v>
      </c>
      <c r="D9" s="854" t="s">
        <v>946</v>
      </c>
      <c r="E9" s="854" t="s">
        <v>952</v>
      </c>
      <c r="F9" s="856">
        <v>66.12</v>
      </c>
    </row>
    <row r="10" spans="1:6" ht="14.6" x14ac:dyDescent="0.4">
      <c r="A10" s="854" t="s">
        <v>576</v>
      </c>
      <c r="B10" s="855">
        <v>43530</v>
      </c>
      <c r="C10" s="854" t="s">
        <v>726</v>
      </c>
      <c r="D10" s="854" t="s">
        <v>946</v>
      </c>
      <c r="E10" s="854" t="s">
        <v>950</v>
      </c>
      <c r="F10" s="856">
        <v>650</v>
      </c>
    </row>
    <row r="11" spans="1:6" ht="14.6" x14ac:dyDescent="0.4">
      <c r="A11" s="854" t="s">
        <v>576</v>
      </c>
      <c r="B11" s="855">
        <v>43530</v>
      </c>
      <c r="C11" s="854" t="s">
        <v>726</v>
      </c>
      <c r="D11" s="854" t="s">
        <v>946</v>
      </c>
      <c r="E11" s="854" t="s">
        <v>951</v>
      </c>
      <c r="F11" s="856">
        <v>150</v>
      </c>
    </row>
    <row r="12" spans="1:6" ht="14.6" x14ac:dyDescent="0.4">
      <c r="A12" s="854" t="s">
        <v>576</v>
      </c>
      <c r="B12" s="855">
        <v>43545</v>
      </c>
      <c r="C12" s="854" t="s">
        <v>1238</v>
      </c>
      <c r="D12" s="854" t="s">
        <v>946</v>
      </c>
      <c r="E12" s="854" t="s">
        <v>950</v>
      </c>
      <c r="F12" s="856">
        <v>700</v>
      </c>
    </row>
    <row r="13" spans="1:6" ht="14.6" x14ac:dyDescent="0.4">
      <c r="A13" s="854" t="s">
        <v>576</v>
      </c>
      <c r="B13" s="855">
        <v>43545</v>
      </c>
      <c r="C13" s="854" t="s">
        <v>1238</v>
      </c>
      <c r="D13" s="854" t="s">
        <v>946</v>
      </c>
      <c r="E13" s="854" t="s">
        <v>951</v>
      </c>
      <c r="F13" s="856">
        <v>150</v>
      </c>
    </row>
    <row r="14" spans="1:6" ht="14.6" x14ac:dyDescent="0.4">
      <c r="A14" s="854" t="s">
        <v>576</v>
      </c>
      <c r="B14" s="855">
        <v>43585</v>
      </c>
      <c r="C14" s="854" t="s">
        <v>1512</v>
      </c>
      <c r="D14" s="854" t="s">
        <v>946</v>
      </c>
      <c r="E14" s="854" t="s">
        <v>950</v>
      </c>
      <c r="F14" s="856">
        <v>700</v>
      </c>
    </row>
    <row r="15" spans="1:6" ht="14.6" x14ac:dyDescent="0.4">
      <c r="A15" s="854" t="s">
        <v>576</v>
      </c>
      <c r="B15" s="855">
        <v>43585</v>
      </c>
      <c r="C15" s="854" t="s">
        <v>1512</v>
      </c>
      <c r="D15" s="854" t="s">
        <v>946</v>
      </c>
      <c r="E15" s="854" t="s">
        <v>951</v>
      </c>
      <c r="F15" s="856">
        <v>150</v>
      </c>
    </row>
    <row r="16" spans="1:6" ht="14.6" x14ac:dyDescent="0.4">
      <c r="A16" s="854" t="s">
        <v>576</v>
      </c>
      <c r="B16" s="855">
        <v>43626</v>
      </c>
      <c r="C16" s="854" t="s">
        <v>1830</v>
      </c>
      <c r="D16" s="854" t="s">
        <v>946</v>
      </c>
      <c r="E16" s="854" t="s">
        <v>950</v>
      </c>
      <c r="F16" s="856">
        <v>700</v>
      </c>
    </row>
    <row r="17" spans="1:6" ht="14.6" x14ac:dyDescent="0.4">
      <c r="A17" s="854" t="s">
        <v>576</v>
      </c>
      <c r="B17" s="855">
        <v>43626</v>
      </c>
      <c r="C17" s="854" t="s">
        <v>1830</v>
      </c>
      <c r="D17" s="854" t="s">
        <v>946</v>
      </c>
      <c r="E17" s="854" t="s">
        <v>951</v>
      </c>
      <c r="F17" s="856">
        <v>150</v>
      </c>
    </row>
    <row r="18" spans="1:6" ht="14.6" x14ac:dyDescent="0.4">
      <c r="A18" s="854" t="s">
        <v>576</v>
      </c>
      <c r="B18" s="855">
        <v>43641</v>
      </c>
      <c r="C18" s="854" t="s">
        <v>1584</v>
      </c>
      <c r="D18" s="854" t="s">
        <v>946</v>
      </c>
      <c r="E18" s="854" t="s">
        <v>950</v>
      </c>
      <c r="F18" s="856">
        <v>700</v>
      </c>
    </row>
    <row r="19" spans="1:6" ht="14.6" x14ac:dyDescent="0.4">
      <c r="A19" s="854" t="s">
        <v>576</v>
      </c>
      <c r="B19" s="855">
        <v>43641</v>
      </c>
      <c r="C19" s="854" t="s">
        <v>1584</v>
      </c>
      <c r="D19" s="854" t="s">
        <v>946</v>
      </c>
      <c r="E19" s="854" t="s">
        <v>951</v>
      </c>
      <c r="F19" s="856">
        <v>150</v>
      </c>
    </row>
    <row r="20" spans="1:6" ht="14.6" x14ac:dyDescent="0.4">
      <c r="A20" s="854" t="s">
        <v>576</v>
      </c>
      <c r="B20" s="855">
        <v>43684</v>
      </c>
      <c r="C20" s="854" t="s">
        <v>2192</v>
      </c>
      <c r="D20" s="854" t="s">
        <v>946</v>
      </c>
      <c r="E20" s="854" t="s">
        <v>950</v>
      </c>
      <c r="F20" s="856">
        <v>700</v>
      </c>
    </row>
    <row r="21" spans="1:6" ht="14.6" x14ac:dyDescent="0.4">
      <c r="A21" s="854" t="s">
        <v>576</v>
      </c>
      <c r="B21" s="855">
        <v>43684</v>
      </c>
      <c r="C21" s="854" t="s">
        <v>2192</v>
      </c>
      <c r="D21" s="854" t="s">
        <v>946</v>
      </c>
      <c r="E21" s="854" t="s">
        <v>951</v>
      </c>
      <c r="F21" s="856">
        <v>150</v>
      </c>
    </row>
    <row r="22" spans="1:6" ht="14.6" x14ac:dyDescent="0.4">
      <c r="A22" s="854" t="s">
        <v>576</v>
      </c>
      <c r="B22" s="855">
        <v>43697</v>
      </c>
      <c r="C22" s="854" t="s">
        <v>2179</v>
      </c>
      <c r="D22" s="854" t="s">
        <v>946</v>
      </c>
      <c r="E22" s="854" t="s">
        <v>950</v>
      </c>
      <c r="F22" s="856">
        <v>700</v>
      </c>
    </row>
    <row r="23" spans="1:6" ht="14.6" x14ac:dyDescent="0.4">
      <c r="A23" s="854" t="s">
        <v>576</v>
      </c>
      <c r="B23" s="855">
        <v>43697</v>
      </c>
      <c r="C23" s="854" t="s">
        <v>2179</v>
      </c>
      <c r="D23" s="854" t="s">
        <v>946</v>
      </c>
      <c r="E23" s="854" t="s">
        <v>951</v>
      </c>
      <c r="F23" s="856">
        <v>150</v>
      </c>
    </row>
    <row r="24" spans="1:6" ht="14.6" x14ac:dyDescent="0.4">
      <c r="A24" s="854" t="s">
        <v>576</v>
      </c>
      <c r="B24" s="855">
        <v>43739</v>
      </c>
      <c r="C24" s="854" t="s">
        <v>2222</v>
      </c>
      <c r="D24" s="854" t="s">
        <v>946</v>
      </c>
      <c r="E24" s="854" t="s">
        <v>950</v>
      </c>
      <c r="F24" s="856">
        <v>700</v>
      </c>
    </row>
    <row r="25" spans="1:6" ht="14.6" x14ac:dyDescent="0.4">
      <c r="A25" s="854" t="s">
        <v>576</v>
      </c>
      <c r="B25" s="855">
        <v>43739</v>
      </c>
      <c r="C25" s="854" t="s">
        <v>2222</v>
      </c>
      <c r="D25" s="854" t="s">
        <v>946</v>
      </c>
      <c r="E25" s="854" t="s">
        <v>951</v>
      </c>
      <c r="F25" s="856">
        <v>150</v>
      </c>
    </row>
    <row r="26" spans="1:6" ht="14.6" x14ac:dyDescent="0.4">
      <c r="A26" s="854" t="s">
        <v>576</v>
      </c>
      <c r="B26" s="855">
        <v>43777</v>
      </c>
      <c r="C26" s="854" t="s">
        <v>2555</v>
      </c>
      <c r="D26" s="854" t="s">
        <v>946</v>
      </c>
      <c r="E26" s="854" t="s">
        <v>950</v>
      </c>
      <c r="F26" s="856">
        <v>700</v>
      </c>
    </row>
    <row r="27" spans="1:6" ht="14.6" x14ac:dyDescent="0.4">
      <c r="A27" s="854" t="s">
        <v>576</v>
      </c>
      <c r="B27" s="855">
        <v>43777</v>
      </c>
      <c r="C27" s="854" t="s">
        <v>2555</v>
      </c>
      <c r="D27" s="854" t="s">
        <v>946</v>
      </c>
      <c r="E27" s="854" t="s">
        <v>951</v>
      </c>
      <c r="F27" s="856">
        <v>150</v>
      </c>
    </row>
    <row r="28" spans="1:6" ht="14.6" x14ac:dyDescent="0.4">
      <c r="A28" s="854" t="s">
        <v>576</v>
      </c>
      <c r="B28" s="855">
        <v>43805</v>
      </c>
      <c r="C28" s="854" t="s">
        <v>3102</v>
      </c>
      <c r="D28" s="854" t="s">
        <v>946</v>
      </c>
      <c r="E28" s="854" t="s">
        <v>950</v>
      </c>
      <c r="F28" s="856">
        <v>700</v>
      </c>
    </row>
    <row r="29" spans="1:6" thickBot="1" x14ac:dyDescent="0.45">
      <c r="A29" s="854" t="s">
        <v>576</v>
      </c>
      <c r="B29" s="855">
        <v>43805</v>
      </c>
      <c r="C29" s="854" t="s">
        <v>3102</v>
      </c>
      <c r="D29" s="854" t="s">
        <v>946</v>
      </c>
      <c r="E29" s="854" t="s">
        <v>951</v>
      </c>
      <c r="F29" s="857">
        <v>150</v>
      </c>
    </row>
    <row r="30" spans="1:6" thickBot="1" x14ac:dyDescent="0.45">
      <c r="A30" s="854"/>
      <c r="B30" s="855"/>
      <c r="C30" s="854"/>
      <c r="D30" s="854"/>
      <c r="E30" s="854"/>
      <c r="F30" s="858">
        <f>ROUND(SUM(F3:F29),5)</f>
        <v>10451.120000000001</v>
      </c>
    </row>
    <row r="31" spans="1:6" thickBot="1" x14ac:dyDescent="0.45">
      <c r="A31" s="854"/>
      <c r="B31" s="855"/>
      <c r="C31" s="854"/>
      <c r="D31" s="854"/>
      <c r="E31" s="854"/>
      <c r="F31" s="858">
        <f>F30</f>
        <v>10451.120000000001</v>
      </c>
    </row>
    <row r="32" spans="1:6" ht="15" customHeight="1" thickBot="1" x14ac:dyDescent="0.45">
      <c r="A32" s="854"/>
      <c r="B32" s="855"/>
      <c r="C32" s="854"/>
      <c r="D32" s="854"/>
      <c r="E32" s="854"/>
      <c r="F32" s="859">
        <f>F31</f>
        <v>10451.120000000001</v>
      </c>
    </row>
    <row r="33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4:27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561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25616" r:id="rId4" name="HEADER"/>
      </mc:Fallback>
    </mc:AlternateContent>
    <mc:AlternateContent xmlns:mc="http://schemas.openxmlformats.org/markup-compatibility/2006">
      <mc:Choice Requires="x14">
        <control shapeId="2561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25615" r:id="rId6" name="FILTER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F29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E25" sqref="E25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2.15234375" style="861" bestFit="1" customWidth="1"/>
    <col min="4" max="4" width="20.53515625" style="861" bestFit="1" customWidth="1"/>
    <col min="5" max="5" width="30.69140625" style="861" customWidth="1"/>
    <col min="6" max="6" width="8.15234375" style="861" bestFit="1" customWidth="1"/>
  </cols>
  <sheetData>
    <row r="1" spans="1:6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43479</v>
      </c>
      <c r="C4" s="854" t="s">
        <v>944</v>
      </c>
      <c r="D4" s="854" t="s">
        <v>739</v>
      </c>
      <c r="E4" s="854" t="s">
        <v>964</v>
      </c>
      <c r="F4" s="856">
        <v>125</v>
      </c>
    </row>
    <row r="5" spans="1:6" ht="14.6" x14ac:dyDescent="0.4">
      <c r="A5" s="854" t="s">
        <v>576</v>
      </c>
      <c r="B5" s="855">
        <v>43479</v>
      </c>
      <c r="C5" s="854" t="s">
        <v>944</v>
      </c>
      <c r="D5" s="854" t="s">
        <v>739</v>
      </c>
      <c r="E5" s="854" t="s">
        <v>965</v>
      </c>
      <c r="F5" s="856">
        <v>335</v>
      </c>
    </row>
    <row r="6" spans="1:6" ht="14.6" x14ac:dyDescent="0.4">
      <c r="A6" s="854" t="s">
        <v>576</v>
      </c>
      <c r="B6" s="855">
        <v>43479</v>
      </c>
      <c r="C6" s="854" t="s">
        <v>944</v>
      </c>
      <c r="D6" s="854" t="s">
        <v>739</v>
      </c>
      <c r="E6" s="854" t="s">
        <v>966</v>
      </c>
      <c r="F6" s="856">
        <v>335</v>
      </c>
    </row>
    <row r="7" spans="1:6" ht="14.6" x14ac:dyDescent="0.4">
      <c r="A7" s="854" t="s">
        <v>576</v>
      </c>
      <c r="B7" s="855">
        <v>43479</v>
      </c>
      <c r="C7" s="854" t="s">
        <v>944</v>
      </c>
      <c r="D7" s="854" t="s">
        <v>739</v>
      </c>
      <c r="E7" s="854" t="s">
        <v>967</v>
      </c>
      <c r="F7" s="856">
        <v>335</v>
      </c>
    </row>
    <row r="8" spans="1:6" ht="14.6" x14ac:dyDescent="0.4">
      <c r="A8" s="854" t="s">
        <v>575</v>
      </c>
      <c r="B8" s="855">
        <v>43495</v>
      </c>
      <c r="C8" s="854" t="s">
        <v>953</v>
      </c>
      <c r="D8" s="854" t="s">
        <v>739</v>
      </c>
      <c r="E8" s="854" t="s">
        <v>968</v>
      </c>
      <c r="F8" s="856">
        <v>125</v>
      </c>
    </row>
    <row r="9" spans="1:6" ht="14.6" x14ac:dyDescent="0.4">
      <c r="A9" s="854" t="s">
        <v>575</v>
      </c>
      <c r="B9" s="855">
        <v>43500</v>
      </c>
      <c r="C9" s="854" t="s">
        <v>954</v>
      </c>
      <c r="D9" s="854" t="s">
        <v>959</v>
      </c>
      <c r="E9" s="854" t="s">
        <v>969</v>
      </c>
      <c r="F9" s="856">
        <v>53.04</v>
      </c>
    </row>
    <row r="10" spans="1:6" ht="14.6" x14ac:dyDescent="0.4">
      <c r="A10" s="854" t="s">
        <v>575</v>
      </c>
      <c r="B10" s="855">
        <v>43502</v>
      </c>
      <c r="C10" s="854" t="s">
        <v>955</v>
      </c>
      <c r="D10" s="854" t="s">
        <v>960</v>
      </c>
      <c r="E10" s="854" t="s">
        <v>970</v>
      </c>
      <c r="F10" s="856">
        <v>49</v>
      </c>
    </row>
    <row r="11" spans="1:6" ht="14.6" x14ac:dyDescent="0.4">
      <c r="A11" s="854" t="s">
        <v>575</v>
      </c>
      <c r="B11" s="855">
        <v>43510</v>
      </c>
      <c r="C11" s="854" t="s">
        <v>957</v>
      </c>
      <c r="D11" s="854" t="s">
        <v>962</v>
      </c>
      <c r="E11" s="854" t="s">
        <v>972</v>
      </c>
      <c r="F11" s="856">
        <v>52.64</v>
      </c>
    </row>
    <row r="12" spans="1:6" ht="14.6" x14ac:dyDescent="0.4">
      <c r="A12" s="854" t="s">
        <v>576</v>
      </c>
      <c r="B12" s="855">
        <v>43528</v>
      </c>
      <c r="C12" s="854" t="s">
        <v>958</v>
      </c>
      <c r="D12" s="854" t="s">
        <v>963</v>
      </c>
      <c r="E12" s="854" t="s">
        <v>973</v>
      </c>
      <c r="F12" s="856">
        <v>23.32</v>
      </c>
    </row>
    <row r="13" spans="1:6" ht="14.6" x14ac:dyDescent="0.4">
      <c r="A13" s="854" t="s">
        <v>576</v>
      </c>
      <c r="B13" s="855">
        <v>43531</v>
      </c>
      <c r="C13" s="854" t="s">
        <v>723</v>
      </c>
      <c r="D13" s="854" t="s">
        <v>1344</v>
      </c>
      <c r="E13" s="854" t="s">
        <v>1345</v>
      </c>
      <c r="F13" s="856">
        <v>114.84</v>
      </c>
    </row>
    <row r="14" spans="1:6" ht="14.6" x14ac:dyDescent="0.4">
      <c r="A14" s="854" t="s">
        <v>575</v>
      </c>
      <c r="B14" s="855">
        <v>43594</v>
      </c>
      <c r="C14" s="854" t="s">
        <v>1625</v>
      </c>
      <c r="D14" s="854" t="s">
        <v>1248</v>
      </c>
      <c r="E14" s="854" t="s">
        <v>1628</v>
      </c>
      <c r="F14" s="856">
        <v>54</v>
      </c>
    </row>
    <row r="15" spans="1:6" ht="14.6" x14ac:dyDescent="0.4">
      <c r="A15" s="854" t="s">
        <v>575</v>
      </c>
      <c r="B15" s="855">
        <v>43598</v>
      </c>
      <c r="C15" s="854" t="s">
        <v>1626</v>
      </c>
      <c r="D15" s="854" t="s">
        <v>1627</v>
      </c>
      <c r="E15" s="854" t="s">
        <v>1629</v>
      </c>
      <c r="F15" s="856">
        <v>57.16</v>
      </c>
    </row>
    <row r="16" spans="1:6" ht="14.6" x14ac:dyDescent="0.4">
      <c r="A16" s="854" t="s">
        <v>575</v>
      </c>
      <c r="B16" s="855">
        <v>43600</v>
      </c>
      <c r="C16" s="854" t="s">
        <v>1831</v>
      </c>
      <c r="D16" s="854" t="s">
        <v>1833</v>
      </c>
      <c r="E16" s="854" t="s">
        <v>1835</v>
      </c>
      <c r="F16" s="856">
        <v>60</v>
      </c>
    </row>
    <row r="17" spans="1:6" ht="14.6" x14ac:dyDescent="0.4">
      <c r="A17" s="854" t="s">
        <v>575</v>
      </c>
      <c r="B17" s="855">
        <v>43601</v>
      </c>
      <c r="C17" s="854" t="s">
        <v>1832</v>
      </c>
      <c r="D17" s="854" t="s">
        <v>1834</v>
      </c>
      <c r="E17" s="854" t="s">
        <v>1836</v>
      </c>
      <c r="F17" s="856">
        <v>49</v>
      </c>
    </row>
    <row r="18" spans="1:6" ht="14.6" x14ac:dyDescent="0.4">
      <c r="A18" s="854" t="s">
        <v>575</v>
      </c>
      <c r="B18" s="855">
        <v>43654</v>
      </c>
      <c r="C18" s="854" t="s">
        <v>1996</v>
      </c>
      <c r="D18" s="854" t="s">
        <v>1997</v>
      </c>
      <c r="E18" s="854" t="s">
        <v>1998</v>
      </c>
      <c r="F18" s="856">
        <v>36</v>
      </c>
    </row>
    <row r="19" spans="1:6" ht="14.6" x14ac:dyDescent="0.4">
      <c r="A19" s="854" t="s">
        <v>576</v>
      </c>
      <c r="B19" s="855">
        <v>43656</v>
      </c>
      <c r="C19" s="854" t="s">
        <v>2176</v>
      </c>
      <c r="D19" s="854" t="s">
        <v>2230</v>
      </c>
      <c r="E19" s="854" t="s">
        <v>2386</v>
      </c>
      <c r="F19" s="856">
        <v>22.27</v>
      </c>
    </row>
    <row r="20" spans="1:6" ht="14.6" x14ac:dyDescent="0.4">
      <c r="A20" s="854" t="s">
        <v>575</v>
      </c>
      <c r="B20" s="855">
        <v>43705</v>
      </c>
      <c r="C20" s="854" t="s">
        <v>2696</v>
      </c>
      <c r="D20" s="854" t="s">
        <v>2700</v>
      </c>
      <c r="E20" s="854" t="s">
        <v>2702</v>
      </c>
      <c r="F20" s="856">
        <v>72</v>
      </c>
    </row>
    <row r="21" spans="1:6" ht="14.6" x14ac:dyDescent="0.4">
      <c r="A21" s="854" t="s">
        <v>575</v>
      </c>
      <c r="B21" s="855">
        <v>43712</v>
      </c>
      <c r="C21" s="854" t="s">
        <v>2697</v>
      </c>
      <c r="D21" s="854" t="s">
        <v>2572</v>
      </c>
      <c r="E21" s="854" t="s">
        <v>2703</v>
      </c>
      <c r="F21" s="856">
        <v>41.15</v>
      </c>
    </row>
    <row r="22" spans="1:6" ht="14.6" x14ac:dyDescent="0.4">
      <c r="A22" s="854" t="s">
        <v>575</v>
      </c>
      <c r="B22" s="855">
        <v>43713</v>
      </c>
      <c r="C22" s="854" t="s">
        <v>2698</v>
      </c>
      <c r="D22" s="854" t="s">
        <v>2701</v>
      </c>
      <c r="E22" s="854" t="s">
        <v>2704</v>
      </c>
      <c r="F22" s="856">
        <v>38</v>
      </c>
    </row>
    <row r="23" spans="1:6" ht="14.6" x14ac:dyDescent="0.4">
      <c r="A23" s="854" t="s">
        <v>575</v>
      </c>
      <c r="B23" s="855">
        <v>43760</v>
      </c>
      <c r="C23" s="854" t="s">
        <v>2699</v>
      </c>
      <c r="D23" s="854" t="s">
        <v>594</v>
      </c>
      <c r="E23" s="854" t="s">
        <v>2705</v>
      </c>
      <c r="F23" s="856">
        <v>11.68</v>
      </c>
    </row>
    <row r="24" spans="1:6" ht="14.6" x14ac:dyDescent="0.4">
      <c r="A24" s="854" t="s">
        <v>576</v>
      </c>
      <c r="B24" s="855">
        <v>43769</v>
      </c>
      <c r="C24" s="854" t="s">
        <v>3208</v>
      </c>
      <c r="D24" s="854" t="s">
        <v>2086</v>
      </c>
      <c r="E24" s="854" t="s">
        <v>3209</v>
      </c>
      <c r="F24" s="856">
        <v>20</v>
      </c>
    </row>
    <row r="25" spans="1:6" thickBot="1" x14ac:dyDescent="0.45">
      <c r="A25" s="854" t="s">
        <v>576</v>
      </c>
      <c r="B25" s="855">
        <v>43822</v>
      </c>
      <c r="C25" s="854" t="s">
        <v>3113</v>
      </c>
      <c r="D25" s="854" t="s">
        <v>2230</v>
      </c>
      <c r="E25" s="854" t="s">
        <v>2386</v>
      </c>
      <c r="F25" s="857">
        <v>16.47</v>
      </c>
    </row>
    <row r="26" spans="1:6" thickBot="1" x14ac:dyDescent="0.45">
      <c r="A26" s="854"/>
      <c r="B26" s="855"/>
      <c r="C26" s="854"/>
      <c r="D26" s="854"/>
      <c r="E26" s="854"/>
      <c r="F26" s="858">
        <f>ROUND(SUM(F3:F25),5)</f>
        <v>2025.57</v>
      </c>
    </row>
    <row r="27" spans="1:6" thickBot="1" x14ac:dyDescent="0.45">
      <c r="A27" s="854"/>
      <c r="B27" s="855"/>
      <c r="C27" s="854"/>
      <c r="D27" s="854"/>
      <c r="E27" s="854"/>
      <c r="F27" s="858">
        <f>F26</f>
        <v>2025.57</v>
      </c>
    </row>
    <row r="28" spans="1:6" ht="15" customHeight="1" thickBot="1" x14ac:dyDescent="0.45">
      <c r="A28" s="854"/>
      <c r="B28" s="855"/>
      <c r="C28" s="854"/>
      <c r="D28" s="854"/>
      <c r="E28" s="854"/>
      <c r="F28" s="859">
        <f>F27</f>
        <v>2025.57</v>
      </c>
    </row>
    <row r="29" spans="1:6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4:28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664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6644" r:id="rId4" name="HEADER"/>
      </mc:Fallback>
    </mc:AlternateContent>
    <mc:AlternateContent xmlns:mc="http://schemas.openxmlformats.org/markup-compatibility/2006">
      <mc:Choice Requires="x14">
        <control shapeId="2664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6643" r:id="rId6" name="FILTER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F61"/>
  <sheetViews>
    <sheetView workbookViewId="0">
      <pane xSplit="1" ySplit="1" topLeftCell="B35" activePane="bottomRight" state="frozenSplit"/>
      <selection pane="topRight" activeCell="D1" sqref="D1"/>
      <selection pane="bottomLeft" activeCell="A2" sqref="A2"/>
      <selection pane="bottomRight" activeCell="F1" sqref="F1:F1048576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3.3046875" style="861" bestFit="1" customWidth="1"/>
    <col min="4" max="4" width="28.3828125" style="861" bestFit="1" customWidth="1"/>
    <col min="5" max="5" width="30.69140625" style="861" customWidth="1"/>
    <col min="6" max="6" width="9.15234375" style="861" bestFit="1" customWidth="1"/>
  </cols>
  <sheetData>
    <row r="1" spans="1:6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43467</v>
      </c>
      <c r="C4" s="854" t="s">
        <v>974</v>
      </c>
      <c r="D4" s="854" t="s">
        <v>984</v>
      </c>
      <c r="E4" s="854" t="s">
        <v>994</v>
      </c>
      <c r="F4" s="856">
        <v>1528.84</v>
      </c>
    </row>
    <row r="5" spans="1:6" ht="14.6" x14ac:dyDescent="0.4">
      <c r="A5" s="854" t="s">
        <v>575</v>
      </c>
      <c r="B5" s="855">
        <v>43487</v>
      </c>
      <c r="C5" s="854"/>
      <c r="D5" s="854" t="s">
        <v>985</v>
      </c>
      <c r="E5" s="854" t="s">
        <v>996</v>
      </c>
      <c r="F5" s="856">
        <v>9.99</v>
      </c>
    </row>
    <row r="6" spans="1:6" ht="14.6" x14ac:dyDescent="0.4">
      <c r="A6" s="854" t="s">
        <v>576</v>
      </c>
      <c r="B6" s="855">
        <v>43497</v>
      </c>
      <c r="C6" s="854" t="s">
        <v>975</v>
      </c>
      <c r="D6" s="854" t="s">
        <v>984</v>
      </c>
      <c r="E6" s="854" t="s">
        <v>994</v>
      </c>
      <c r="F6" s="856">
        <v>1528.84</v>
      </c>
    </row>
    <row r="7" spans="1:6" ht="14.6" x14ac:dyDescent="0.4">
      <c r="A7" s="854" t="s">
        <v>576</v>
      </c>
      <c r="B7" s="855">
        <v>43501</v>
      </c>
      <c r="C7" s="854" t="s">
        <v>1513</v>
      </c>
      <c r="D7" s="854" t="s">
        <v>1355</v>
      </c>
      <c r="E7" s="854" t="s">
        <v>1517</v>
      </c>
      <c r="F7" s="856">
        <v>150</v>
      </c>
    </row>
    <row r="8" spans="1:6" ht="14.6" x14ac:dyDescent="0.4">
      <c r="A8" s="854" t="s">
        <v>575</v>
      </c>
      <c r="B8" s="855">
        <v>43505</v>
      </c>
      <c r="C8" s="854" t="s">
        <v>976</v>
      </c>
      <c r="D8" s="854" t="s">
        <v>986</v>
      </c>
      <c r="E8" s="854" t="s">
        <v>997</v>
      </c>
      <c r="F8" s="856">
        <v>719.45</v>
      </c>
    </row>
    <row r="9" spans="1:6" ht="14.6" x14ac:dyDescent="0.4">
      <c r="A9" s="854" t="s">
        <v>575</v>
      </c>
      <c r="B9" s="855">
        <v>43507</v>
      </c>
      <c r="C9" s="854" t="s">
        <v>977</v>
      </c>
      <c r="D9" s="854" t="s">
        <v>987</v>
      </c>
      <c r="E9" s="854" t="s">
        <v>998</v>
      </c>
      <c r="F9" s="856">
        <v>9.69</v>
      </c>
    </row>
    <row r="10" spans="1:6" ht="14.6" x14ac:dyDescent="0.4">
      <c r="A10" s="854" t="s">
        <v>575</v>
      </c>
      <c r="B10" s="855">
        <v>43510</v>
      </c>
      <c r="C10" s="854" t="s">
        <v>978</v>
      </c>
      <c r="D10" s="854" t="s">
        <v>988</v>
      </c>
      <c r="E10" s="854" t="s">
        <v>999</v>
      </c>
      <c r="F10" s="856">
        <v>795</v>
      </c>
    </row>
    <row r="11" spans="1:6" ht="14.6" x14ac:dyDescent="0.4">
      <c r="A11" s="854" t="s">
        <v>575</v>
      </c>
      <c r="B11" s="855">
        <v>43511</v>
      </c>
      <c r="C11" s="854" t="s">
        <v>979</v>
      </c>
      <c r="D11" s="854" t="s">
        <v>989</v>
      </c>
      <c r="E11" s="854" t="s">
        <v>1000</v>
      </c>
      <c r="F11" s="856">
        <v>149.94999999999999</v>
      </c>
    </row>
    <row r="12" spans="1:6" ht="14.6" x14ac:dyDescent="0.4">
      <c r="A12" s="854" t="s">
        <v>575</v>
      </c>
      <c r="B12" s="855">
        <v>43512</v>
      </c>
      <c r="C12" s="854" t="s">
        <v>1346</v>
      </c>
      <c r="D12" s="854" t="s">
        <v>1351</v>
      </c>
      <c r="E12" s="854" t="s">
        <v>1518</v>
      </c>
      <c r="F12" s="856">
        <v>69.95</v>
      </c>
    </row>
    <row r="13" spans="1:6" ht="14.6" x14ac:dyDescent="0.4">
      <c r="A13" s="854" t="s">
        <v>575</v>
      </c>
      <c r="B13" s="855">
        <v>43515</v>
      </c>
      <c r="C13" s="854" t="s">
        <v>980</v>
      </c>
      <c r="D13" s="854" t="s">
        <v>990</v>
      </c>
      <c r="E13" s="854" t="s">
        <v>1001</v>
      </c>
      <c r="F13" s="856">
        <v>160</v>
      </c>
    </row>
    <row r="14" spans="1:6" ht="14.6" x14ac:dyDescent="0.4">
      <c r="A14" s="854" t="s">
        <v>575</v>
      </c>
      <c r="B14" s="855">
        <v>43515</v>
      </c>
      <c r="C14" s="854" t="s">
        <v>980</v>
      </c>
      <c r="D14" s="854" t="s">
        <v>990</v>
      </c>
      <c r="E14" s="854" t="s">
        <v>1002</v>
      </c>
      <c r="F14" s="856">
        <v>100</v>
      </c>
    </row>
    <row r="15" spans="1:6" ht="14.6" x14ac:dyDescent="0.4">
      <c r="A15" s="854" t="s">
        <v>575</v>
      </c>
      <c r="B15" s="855">
        <v>43516</v>
      </c>
      <c r="C15" s="854" t="s">
        <v>737</v>
      </c>
      <c r="D15" s="854" t="s">
        <v>1352</v>
      </c>
      <c r="E15" s="854" t="s">
        <v>1356</v>
      </c>
      <c r="F15" s="856">
        <v>99</v>
      </c>
    </row>
    <row r="16" spans="1:6" ht="14.6" x14ac:dyDescent="0.4">
      <c r="A16" s="854" t="s">
        <v>575</v>
      </c>
      <c r="B16" s="855">
        <v>43518</v>
      </c>
      <c r="C16" s="854"/>
      <c r="D16" s="854" t="s">
        <v>985</v>
      </c>
      <c r="E16" s="854" t="s">
        <v>996</v>
      </c>
      <c r="F16" s="856">
        <v>9.99</v>
      </c>
    </row>
    <row r="17" spans="1:6" ht="14.6" x14ac:dyDescent="0.4">
      <c r="A17" s="854" t="s">
        <v>576</v>
      </c>
      <c r="B17" s="855">
        <v>43518</v>
      </c>
      <c r="C17" s="854" t="s">
        <v>981</v>
      </c>
      <c r="D17" s="854" t="s">
        <v>991</v>
      </c>
      <c r="E17" s="854" t="s">
        <v>1003</v>
      </c>
      <c r="F17" s="856">
        <v>4900</v>
      </c>
    </row>
    <row r="18" spans="1:6" ht="14.6" x14ac:dyDescent="0.4">
      <c r="A18" s="854" t="s">
        <v>575</v>
      </c>
      <c r="B18" s="855">
        <v>43522</v>
      </c>
      <c r="C18" s="854" t="s">
        <v>982</v>
      </c>
      <c r="D18" s="854" t="s">
        <v>992</v>
      </c>
      <c r="E18" s="854" t="s">
        <v>1004</v>
      </c>
      <c r="F18" s="856">
        <v>15.48</v>
      </c>
    </row>
    <row r="19" spans="1:6" ht="14.6" x14ac:dyDescent="0.4">
      <c r="A19" s="854" t="s">
        <v>575</v>
      </c>
      <c r="B19" s="855">
        <v>43522</v>
      </c>
      <c r="C19" s="854" t="s">
        <v>982</v>
      </c>
      <c r="D19" s="854" t="s">
        <v>992</v>
      </c>
      <c r="E19" s="854" t="s">
        <v>1005</v>
      </c>
      <c r="F19" s="856">
        <v>234.52</v>
      </c>
    </row>
    <row r="20" spans="1:6" ht="14.6" x14ac:dyDescent="0.4">
      <c r="A20" s="854" t="s">
        <v>576</v>
      </c>
      <c r="B20" s="855">
        <v>43524</v>
      </c>
      <c r="C20" s="854" t="s">
        <v>723</v>
      </c>
      <c r="D20" s="854" t="s">
        <v>993</v>
      </c>
      <c r="E20" s="854" t="s">
        <v>1006</v>
      </c>
      <c r="F20" s="856">
        <v>481.6</v>
      </c>
    </row>
    <row r="21" spans="1:6" ht="14.6" x14ac:dyDescent="0.4">
      <c r="A21" s="854" t="s">
        <v>689</v>
      </c>
      <c r="B21" s="855">
        <v>43525</v>
      </c>
      <c r="C21" s="854" t="s">
        <v>737</v>
      </c>
      <c r="D21" s="854" t="s">
        <v>739</v>
      </c>
      <c r="E21" s="854" t="s">
        <v>1007</v>
      </c>
      <c r="F21" s="856">
        <v>-50</v>
      </c>
    </row>
    <row r="22" spans="1:6" ht="14.6" x14ac:dyDescent="0.4">
      <c r="A22" s="854" t="s">
        <v>576</v>
      </c>
      <c r="B22" s="855">
        <v>43528</v>
      </c>
      <c r="C22" s="854" t="s">
        <v>983</v>
      </c>
      <c r="D22" s="854" t="s">
        <v>984</v>
      </c>
      <c r="E22" s="854" t="s">
        <v>994</v>
      </c>
      <c r="F22" s="856">
        <v>1528.84</v>
      </c>
    </row>
    <row r="23" spans="1:6" ht="14.6" x14ac:dyDescent="0.4">
      <c r="A23" s="854" t="s">
        <v>575</v>
      </c>
      <c r="B23" s="855">
        <v>43542</v>
      </c>
      <c r="C23" s="854" t="s">
        <v>1347</v>
      </c>
      <c r="D23" s="854" t="s">
        <v>1353</v>
      </c>
      <c r="E23" s="854" t="s">
        <v>1357</v>
      </c>
      <c r="F23" s="856">
        <v>200</v>
      </c>
    </row>
    <row r="24" spans="1:6" ht="14.6" x14ac:dyDescent="0.4">
      <c r="A24" s="854" t="s">
        <v>575</v>
      </c>
      <c r="B24" s="855">
        <v>43542</v>
      </c>
      <c r="C24" s="854" t="s">
        <v>1348</v>
      </c>
      <c r="D24" s="854" t="s">
        <v>1354</v>
      </c>
      <c r="E24" s="854" t="s">
        <v>1358</v>
      </c>
      <c r="F24" s="856">
        <v>199</v>
      </c>
    </row>
    <row r="25" spans="1:6" ht="14.6" x14ac:dyDescent="0.4">
      <c r="A25" s="854" t="s">
        <v>575</v>
      </c>
      <c r="B25" s="855">
        <v>43546</v>
      </c>
      <c r="C25" s="854"/>
      <c r="D25" s="854" t="s">
        <v>985</v>
      </c>
      <c r="E25" s="854" t="s">
        <v>996</v>
      </c>
      <c r="F25" s="856">
        <v>9.99</v>
      </c>
    </row>
    <row r="26" spans="1:6" ht="14.6" x14ac:dyDescent="0.4">
      <c r="A26" s="854" t="s">
        <v>576</v>
      </c>
      <c r="B26" s="855">
        <v>43558</v>
      </c>
      <c r="C26" s="854" t="s">
        <v>1349</v>
      </c>
      <c r="D26" s="854" t="s">
        <v>984</v>
      </c>
      <c r="E26" s="854" t="s">
        <v>994</v>
      </c>
      <c r="F26" s="856">
        <v>1528.84</v>
      </c>
    </row>
    <row r="27" spans="1:6" ht="14.6" x14ac:dyDescent="0.4">
      <c r="A27" s="854" t="s">
        <v>576</v>
      </c>
      <c r="B27" s="855">
        <v>43563</v>
      </c>
      <c r="C27" s="854" t="s">
        <v>1350</v>
      </c>
      <c r="D27" s="854" t="s">
        <v>1355</v>
      </c>
      <c r="E27" s="854" t="s">
        <v>1359</v>
      </c>
      <c r="F27" s="856">
        <v>150</v>
      </c>
    </row>
    <row r="28" spans="1:6" ht="14.6" x14ac:dyDescent="0.4">
      <c r="A28" s="854" t="s">
        <v>576</v>
      </c>
      <c r="B28" s="855">
        <v>43571</v>
      </c>
      <c r="C28" s="854" t="s">
        <v>1514</v>
      </c>
      <c r="D28" s="854" t="s">
        <v>322</v>
      </c>
      <c r="E28" s="854" t="s">
        <v>1519</v>
      </c>
      <c r="F28" s="856">
        <v>149.94999999999999</v>
      </c>
    </row>
    <row r="29" spans="1:6" ht="14.6" x14ac:dyDescent="0.4">
      <c r="A29" s="854" t="s">
        <v>575</v>
      </c>
      <c r="B29" s="855">
        <v>43571</v>
      </c>
      <c r="C29" s="854" t="s">
        <v>1630</v>
      </c>
      <c r="D29" s="854" t="s">
        <v>1632</v>
      </c>
      <c r="E29" s="854" t="s">
        <v>1634</v>
      </c>
      <c r="F29" s="856">
        <v>1260</v>
      </c>
    </row>
    <row r="30" spans="1:6" ht="14.6" x14ac:dyDescent="0.4">
      <c r="A30" s="854" t="s">
        <v>575</v>
      </c>
      <c r="B30" s="855">
        <v>43577</v>
      </c>
      <c r="C30" s="854"/>
      <c r="D30" s="854" t="s">
        <v>985</v>
      </c>
      <c r="E30" s="854" t="s">
        <v>996</v>
      </c>
      <c r="F30" s="856">
        <v>9.99</v>
      </c>
    </row>
    <row r="31" spans="1:6" ht="14.6" x14ac:dyDescent="0.4">
      <c r="A31" s="854" t="s">
        <v>576</v>
      </c>
      <c r="B31" s="855">
        <v>43587</v>
      </c>
      <c r="C31" s="854" t="s">
        <v>1515</v>
      </c>
      <c r="D31" s="854" t="s">
        <v>1516</v>
      </c>
      <c r="E31" s="854" t="s">
        <v>1520</v>
      </c>
      <c r="F31" s="856">
        <v>549</v>
      </c>
    </row>
    <row r="32" spans="1:6" ht="14.6" x14ac:dyDescent="0.4">
      <c r="A32" s="854" t="s">
        <v>576</v>
      </c>
      <c r="B32" s="855">
        <v>43589</v>
      </c>
      <c r="C32" s="854" t="s">
        <v>1631</v>
      </c>
      <c r="D32" s="854" t="s">
        <v>984</v>
      </c>
      <c r="E32" s="854" t="s">
        <v>994</v>
      </c>
      <c r="F32" s="856">
        <v>1528.84</v>
      </c>
    </row>
    <row r="33" spans="1:6" ht="14.6" x14ac:dyDescent="0.4">
      <c r="A33" s="854" t="s">
        <v>576</v>
      </c>
      <c r="B33" s="855">
        <v>43593</v>
      </c>
      <c r="C33" s="854" t="s">
        <v>1837</v>
      </c>
      <c r="D33" s="854" t="s">
        <v>1839</v>
      </c>
      <c r="E33" s="854" t="s">
        <v>1520</v>
      </c>
      <c r="F33" s="856">
        <v>346.5</v>
      </c>
    </row>
    <row r="34" spans="1:6" ht="14.6" x14ac:dyDescent="0.4">
      <c r="A34" s="854" t="s">
        <v>576</v>
      </c>
      <c r="B34" s="855">
        <v>43598</v>
      </c>
      <c r="C34" s="854" t="s">
        <v>1584</v>
      </c>
      <c r="D34" s="854" t="s">
        <v>1633</v>
      </c>
      <c r="E34" s="854" t="s">
        <v>1635</v>
      </c>
      <c r="F34" s="856">
        <v>2759.9</v>
      </c>
    </row>
    <row r="35" spans="1:6" ht="14.6" x14ac:dyDescent="0.4">
      <c r="A35" s="854" t="s">
        <v>575</v>
      </c>
      <c r="B35" s="855">
        <v>43607</v>
      </c>
      <c r="C35" s="854"/>
      <c r="D35" s="854" t="s">
        <v>985</v>
      </c>
      <c r="E35" s="854" t="s">
        <v>996</v>
      </c>
      <c r="F35" s="856">
        <v>9.99</v>
      </c>
    </row>
    <row r="36" spans="1:6" ht="14.6" x14ac:dyDescent="0.4">
      <c r="A36" s="854" t="s">
        <v>576</v>
      </c>
      <c r="B36" s="855">
        <v>43615</v>
      </c>
      <c r="C36" s="854" t="s">
        <v>1512</v>
      </c>
      <c r="D36" s="854" t="s">
        <v>993</v>
      </c>
      <c r="E36" s="854" t="s">
        <v>1840</v>
      </c>
      <c r="F36" s="856">
        <v>409.5</v>
      </c>
    </row>
    <row r="37" spans="1:6" ht="14.6" x14ac:dyDescent="0.4">
      <c r="A37" s="854" t="s">
        <v>576</v>
      </c>
      <c r="B37" s="855">
        <v>43619</v>
      </c>
      <c r="C37" s="854" t="s">
        <v>1838</v>
      </c>
      <c r="D37" s="854" t="s">
        <v>984</v>
      </c>
      <c r="E37" s="854" t="s">
        <v>994</v>
      </c>
      <c r="F37" s="856">
        <v>1528.84</v>
      </c>
    </row>
    <row r="38" spans="1:6" ht="14.6" x14ac:dyDescent="0.4">
      <c r="A38" s="854" t="s">
        <v>576</v>
      </c>
      <c r="B38" s="855">
        <v>43647</v>
      </c>
      <c r="C38" s="854" t="s">
        <v>1999</v>
      </c>
      <c r="D38" s="854" t="s">
        <v>1633</v>
      </c>
      <c r="E38" s="854" t="s">
        <v>2006</v>
      </c>
      <c r="F38" s="856">
        <v>1189.95</v>
      </c>
    </row>
    <row r="39" spans="1:6" ht="14.6" x14ac:dyDescent="0.4">
      <c r="A39" s="854" t="s">
        <v>576</v>
      </c>
      <c r="B39" s="855">
        <v>43648</v>
      </c>
      <c r="C39" s="854" t="s">
        <v>2000</v>
      </c>
      <c r="D39" s="854" t="s">
        <v>984</v>
      </c>
      <c r="E39" s="854" t="s">
        <v>994</v>
      </c>
      <c r="F39" s="856">
        <v>1528.84</v>
      </c>
    </row>
    <row r="40" spans="1:6" ht="14.6" x14ac:dyDescent="0.4">
      <c r="A40" s="854" t="s">
        <v>575</v>
      </c>
      <c r="B40" s="855">
        <v>43649</v>
      </c>
      <c r="C40" s="854" t="s">
        <v>2001</v>
      </c>
      <c r="D40" s="854" t="s">
        <v>2004</v>
      </c>
      <c r="E40" s="854" t="s">
        <v>2007</v>
      </c>
      <c r="F40" s="856">
        <v>19</v>
      </c>
    </row>
    <row r="41" spans="1:6" ht="14.6" x14ac:dyDescent="0.4">
      <c r="A41" s="854" t="s">
        <v>576</v>
      </c>
      <c r="B41" s="855">
        <v>43655</v>
      </c>
      <c r="C41" s="854" t="s">
        <v>2002</v>
      </c>
      <c r="D41" s="854" t="s">
        <v>2005</v>
      </c>
      <c r="E41" s="854" t="s">
        <v>2008</v>
      </c>
      <c r="F41" s="856">
        <v>199</v>
      </c>
    </row>
    <row r="42" spans="1:6" ht="14.6" x14ac:dyDescent="0.4">
      <c r="A42" s="854" t="s">
        <v>575</v>
      </c>
      <c r="B42" s="855">
        <v>43655</v>
      </c>
      <c r="C42" s="854" t="s">
        <v>737</v>
      </c>
      <c r="D42" s="854" t="s">
        <v>985</v>
      </c>
      <c r="E42" s="854" t="s">
        <v>2009</v>
      </c>
      <c r="F42" s="856">
        <v>119.88</v>
      </c>
    </row>
    <row r="43" spans="1:6" ht="14.6" x14ac:dyDescent="0.4">
      <c r="A43" s="854" t="s">
        <v>576</v>
      </c>
      <c r="B43" s="855">
        <v>43656</v>
      </c>
      <c r="C43" s="854" t="s">
        <v>2003</v>
      </c>
      <c r="D43" s="854" t="s">
        <v>2005</v>
      </c>
      <c r="E43" s="854" t="s">
        <v>2010</v>
      </c>
      <c r="F43" s="856">
        <v>199</v>
      </c>
    </row>
    <row r="44" spans="1:6" ht="14.6" x14ac:dyDescent="0.4">
      <c r="A44" s="854" t="s">
        <v>576</v>
      </c>
      <c r="B44" s="855">
        <v>43676</v>
      </c>
      <c r="C44" s="854" t="s">
        <v>2387</v>
      </c>
      <c r="D44" s="854" t="s">
        <v>739</v>
      </c>
      <c r="E44" s="854" t="s">
        <v>2391</v>
      </c>
      <c r="F44" s="856">
        <v>69.5</v>
      </c>
    </row>
    <row r="45" spans="1:6" ht="14.6" x14ac:dyDescent="0.4">
      <c r="A45" s="854" t="s">
        <v>576</v>
      </c>
      <c r="B45" s="855">
        <v>43679</v>
      </c>
      <c r="C45" s="854" t="s">
        <v>2388</v>
      </c>
      <c r="D45" s="854" t="s">
        <v>984</v>
      </c>
      <c r="E45" s="854" t="s">
        <v>994</v>
      </c>
      <c r="F45" s="856">
        <v>1528.84</v>
      </c>
    </row>
    <row r="46" spans="1:6" ht="14.6" x14ac:dyDescent="0.4">
      <c r="A46" s="854" t="s">
        <v>575</v>
      </c>
      <c r="B46" s="855">
        <v>43680</v>
      </c>
      <c r="C46" s="854" t="s">
        <v>2389</v>
      </c>
      <c r="D46" s="854" t="s">
        <v>2004</v>
      </c>
      <c r="E46" s="854" t="s">
        <v>2007</v>
      </c>
      <c r="F46" s="856">
        <v>19</v>
      </c>
    </row>
    <row r="47" spans="1:6" ht="14.6" x14ac:dyDescent="0.4">
      <c r="A47" s="854" t="s">
        <v>576</v>
      </c>
      <c r="B47" s="855">
        <v>43707</v>
      </c>
      <c r="C47" s="854" t="s">
        <v>2192</v>
      </c>
      <c r="D47" s="854" t="s">
        <v>993</v>
      </c>
      <c r="E47" s="854" t="s">
        <v>2392</v>
      </c>
      <c r="F47" s="856">
        <v>409.5</v>
      </c>
    </row>
    <row r="48" spans="1:6" ht="14.6" x14ac:dyDescent="0.4">
      <c r="A48" s="854" t="s">
        <v>576</v>
      </c>
      <c r="B48" s="855">
        <v>43710</v>
      </c>
      <c r="C48" s="854" t="s">
        <v>2390</v>
      </c>
      <c r="D48" s="854" t="s">
        <v>984</v>
      </c>
      <c r="E48" s="854" t="s">
        <v>994</v>
      </c>
      <c r="F48" s="856">
        <v>1528.84</v>
      </c>
    </row>
    <row r="49" spans="1:6" ht="14.6" x14ac:dyDescent="0.4">
      <c r="A49" s="854" t="s">
        <v>575</v>
      </c>
      <c r="B49" s="855">
        <v>43734</v>
      </c>
      <c r="C49" s="854" t="s">
        <v>2707</v>
      </c>
      <c r="D49" s="854" t="s">
        <v>2004</v>
      </c>
      <c r="E49" s="854" t="s">
        <v>2710</v>
      </c>
      <c r="F49" s="856">
        <v>19</v>
      </c>
    </row>
    <row r="50" spans="1:6" ht="14.6" x14ac:dyDescent="0.4">
      <c r="A50" s="854" t="s">
        <v>576</v>
      </c>
      <c r="B50" s="855">
        <v>43739</v>
      </c>
      <c r="C50" s="854" t="s">
        <v>2708</v>
      </c>
      <c r="D50" s="854" t="s">
        <v>984</v>
      </c>
      <c r="E50" s="854" t="s">
        <v>994</v>
      </c>
      <c r="F50" s="856">
        <v>1597.64</v>
      </c>
    </row>
    <row r="51" spans="1:6" ht="14.6" x14ac:dyDescent="0.4">
      <c r="A51" s="854" t="s">
        <v>576</v>
      </c>
      <c r="B51" s="855">
        <v>43751</v>
      </c>
      <c r="C51" s="854" t="s">
        <v>3210</v>
      </c>
      <c r="D51" s="854" t="s">
        <v>3215</v>
      </c>
      <c r="E51" s="854" t="s">
        <v>3216</v>
      </c>
      <c r="F51" s="856">
        <v>1669.2</v>
      </c>
    </row>
    <row r="52" spans="1:6" ht="14.6" x14ac:dyDescent="0.4">
      <c r="A52" s="854" t="s">
        <v>576</v>
      </c>
      <c r="B52" s="855">
        <v>43771</v>
      </c>
      <c r="C52" s="854" t="s">
        <v>2961</v>
      </c>
      <c r="D52" s="854" t="s">
        <v>984</v>
      </c>
      <c r="E52" s="854" t="s">
        <v>994</v>
      </c>
      <c r="F52" s="856">
        <v>4141.54</v>
      </c>
    </row>
    <row r="53" spans="1:6" ht="14.6" x14ac:dyDescent="0.4">
      <c r="A53" s="854" t="s">
        <v>575</v>
      </c>
      <c r="B53" s="855">
        <v>43788</v>
      </c>
      <c r="C53" s="854" t="s">
        <v>3211</v>
      </c>
      <c r="D53" s="854" t="s">
        <v>989</v>
      </c>
      <c r="E53" s="854" t="s">
        <v>3217</v>
      </c>
      <c r="F53" s="856">
        <v>0</v>
      </c>
    </row>
    <row r="54" spans="1:6" ht="14.6" x14ac:dyDescent="0.4">
      <c r="A54" s="854" t="s">
        <v>575</v>
      </c>
      <c r="B54" s="855">
        <v>43788</v>
      </c>
      <c r="C54" s="854" t="s">
        <v>3211</v>
      </c>
      <c r="D54" s="854" t="s">
        <v>989</v>
      </c>
      <c r="E54" s="854" t="s">
        <v>3218</v>
      </c>
      <c r="F54" s="856">
        <v>27.95</v>
      </c>
    </row>
    <row r="55" spans="1:6" ht="14.6" x14ac:dyDescent="0.4">
      <c r="A55" s="854" t="s">
        <v>576</v>
      </c>
      <c r="B55" s="855">
        <v>43801</v>
      </c>
      <c r="C55" s="854" t="s">
        <v>3212</v>
      </c>
      <c r="D55" s="854" t="s">
        <v>984</v>
      </c>
      <c r="E55" s="854" t="s">
        <v>994</v>
      </c>
      <c r="F55" s="856">
        <v>3082</v>
      </c>
    </row>
    <row r="56" spans="1:6" ht="15" customHeight="1" x14ac:dyDescent="0.4">
      <c r="A56" s="854" t="s">
        <v>576</v>
      </c>
      <c r="B56" s="855">
        <v>43808</v>
      </c>
      <c r="C56" s="854" t="s">
        <v>3213</v>
      </c>
      <c r="D56" s="854" t="s">
        <v>993</v>
      </c>
      <c r="E56" s="854" t="s">
        <v>3219</v>
      </c>
      <c r="F56" s="856">
        <v>47.5</v>
      </c>
    </row>
    <row r="57" spans="1:6" ht="15" customHeight="1" thickBot="1" x14ac:dyDescent="0.45">
      <c r="A57" s="854" t="s">
        <v>575</v>
      </c>
      <c r="B57" s="855">
        <v>43810</v>
      </c>
      <c r="C57" s="854" t="s">
        <v>3214</v>
      </c>
      <c r="D57" s="854" t="s">
        <v>744</v>
      </c>
      <c r="E57" s="854" t="s">
        <v>3220</v>
      </c>
      <c r="F57" s="857">
        <v>115.79</v>
      </c>
    </row>
    <row r="58" spans="1:6" ht="15" customHeight="1" thickBot="1" x14ac:dyDescent="0.45">
      <c r="A58" s="854"/>
      <c r="B58" s="855"/>
      <c r="C58" s="854"/>
      <c r="D58" s="854"/>
      <c r="E58" s="854"/>
      <c r="F58" s="858">
        <f>ROUND(SUM(F3:F57),5)</f>
        <v>40593.449999999997</v>
      </c>
    </row>
    <row r="59" spans="1:6" ht="15" customHeight="1" thickBot="1" x14ac:dyDescent="0.45">
      <c r="A59" s="854"/>
      <c r="B59" s="855"/>
      <c r="C59" s="854"/>
      <c r="D59" s="854"/>
      <c r="E59" s="854"/>
      <c r="F59" s="858">
        <f>F58</f>
        <v>40593.449999999997</v>
      </c>
    </row>
    <row r="60" spans="1:6" ht="15" customHeight="1" thickBot="1" x14ac:dyDescent="0.45">
      <c r="A60" s="854"/>
      <c r="B60" s="855"/>
      <c r="C60" s="854"/>
      <c r="D60" s="854"/>
      <c r="E60" s="854"/>
      <c r="F60" s="859">
        <f>F59</f>
        <v>40593.449999999997</v>
      </c>
    </row>
    <row r="61" spans="1:6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4:31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766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7668" r:id="rId4" name="HEADER"/>
      </mc:Fallback>
    </mc:AlternateContent>
    <mc:AlternateContent xmlns:mc="http://schemas.openxmlformats.org/markup-compatibility/2006">
      <mc:Choice Requires="x14">
        <control shapeId="2766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7667" r:id="rId6" name="FILTER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zoomScale="145" zoomScaleNormal="145" workbookViewId="0">
      <pane ySplit="1" topLeftCell="A2" activePane="bottomLeft" state="frozen"/>
      <selection activeCell="A2" sqref="A2"/>
      <selection pane="bottomLeft" activeCell="I1" sqref="I1:I1048576"/>
    </sheetView>
  </sheetViews>
  <sheetFormatPr defaultColWidth="14.3828125" defaultRowHeight="15" customHeight="1" x14ac:dyDescent="0.4"/>
  <cols>
    <col min="1" max="1" width="22.84375" customWidth="1"/>
    <col min="2" max="2" width="66.15234375" customWidth="1"/>
    <col min="3" max="3" width="2.3828125" customWidth="1"/>
    <col min="4" max="4" width="13.3828125" customWidth="1"/>
    <col min="5" max="5" width="11.3828125" bestFit="1" customWidth="1"/>
    <col min="6" max="6" width="12.84375" bestFit="1" customWidth="1"/>
    <col min="7" max="7" width="12.3046875" bestFit="1" customWidth="1"/>
    <col min="8" max="8" width="11.53515625" customWidth="1"/>
    <col min="9" max="9" width="78.69140625" customWidth="1"/>
    <col min="10" max="19" width="13.3046875" customWidth="1"/>
    <col min="20" max="26" width="15.15234375" customWidth="1"/>
  </cols>
  <sheetData>
    <row r="1" spans="1:14" ht="45" customHeight="1" x14ac:dyDescent="0.4">
      <c r="A1" s="9" t="s">
        <v>1</v>
      </c>
      <c r="B1" s="9" t="s">
        <v>13</v>
      </c>
      <c r="C1" s="9"/>
      <c r="D1" s="11"/>
      <c r="E1" s="13" t="s">
        <v>571</v>
      </c>
      <c r="F1" s="13" t="s">
        <v>14</v>
      </c>
      <c r="G1" s="13" t="s">
        <v>15</v>
      </c>
      <c r="H1" s="13" t="s">
        <v>9</v>
      </c>
      <c r="I1" s="14"/>
      <c r="J1" s="3"/>
    </row>
    <row r="2" spans="1:14" ht="19.5" customHeight="1" x14ac:dyDescent="0.5">
      <c r="A2" s="15" t="s">
        <v>12</v>
      </c>
      <c r="B2" s="22"/>
      <c r="C2" s="24"/>
      <c r="D2" s="22"/>
      <c r="E2" s="22"/>
      <c r="F2" s="22"/>
      <c r="G2" s="22"/>
      <c r="H2" s="22"/>
      <c r="I2" s="25"/>
      <c r="J2" s="3"/>
    </row>
    <row r="3" spans="1:14" ht="14.6" x14ac:dyDescent="0.4">
      <c r="A3" s="806"/>
      <c r="B3" s="807" t="s">
        <v>24</v>
      </c>
      <c r="C3" s="716"/>
      <c r="D3" s="807"/>
      <c r="E3" s="808">
        <f>4100000</f>
        <v>4100000</v>
      </c>
      <c r="F3" s="809">
        <f>-(3611077.88-1755.28-197443.96-12775)</f>
        <v>-3399103.64</v>
      </c>
      <c r="G3" s="809">
        <f>SUM(E3:F3)</f>
        <v>700896.35999999987</v>
      </c>
      <c r="H3" s="810">
        <f>(3996211+119886)</f>
        <v>4116097</v>
      </c>
      <c r="I3" s="31"/>
      <c r="J3" s="181"/>
    </row>
    <row r="4" spans="1:14" ht="14.6" x14ac:dyDescent="0.4">
      <c r="A4" s="32"/>
      <c r="B4" s="33" t="s">
        <v>30</v>
      </c>
      <c r="C4" s="34"/>
      <c r="D4" s="33"/>
      <c r="E4" s="358">
        <f>(E3*3%)*50%</f>
        <v>61500</v>
      </c>
      <c r="F4" s="36"/>
      <c r="G4" s="36"/>
      <c r="H4" s="37">
        <f>(H3*3%)</f>
        <v>123482.90999999999</v>
      </c>
      <c r="I4" s="14"/>
      <c r="J4" s="3"/>
      <c r="M4" s="558">
        <v>3797336</v>
      </c>
      <c r="N4" t="s">
        <v>482</v>
      </c>
    </row>
    <row r="5" spans="1:14" ht="14.6" x14ac:dyDescent="0.4">
      <c r="A5" s="38"/>
      <c r="B5" s="39" t="s">
        <v>42</v>
      </c>
      <c r="C5" s="27"/>
      <c r="D5" s="39"/>
      <c r="E5" s="28">
        <v>17000</v>
      </c>
      <c r="F5" s="40">
        <v>-7883.15</v>
      </c>
      <c r="G5" s="40">
        <f>SUM(E5:F5)</f>
        <v>9116.85</v>
      </c>
      <c r="H5" s="41">
        <v>15000</v>
      </c>
      <c r="I5" s="14"/>
      <c r="J5" s="3"/>
      <c r="M5" s="559">
        <v>0.03</v>
      </c>
      <c r="N5" t="s">
        <v>481</v>
      </c>
    </row>
    <row r="6" spans="1:14" ht="14.6" x14ac:dyDescent="0.4">
      <c r="A6" s="42"/>
      <c r="B6" s="43" t="s">
        <v>44</v>
      </c>
      <c r="C6" s="34"/>
      <c r="D6" s="43"/>
      <c r="E6" s="358">
        <v>26000</v>
      </c>
      <c r="F6" s="44"/>
      <c r="G6" s="44"/>
      <c r="H6" s="45">
        <v>28000</v>
      </c>
      <c r="I6" s="31"/>
      <c r="J6" s="3"/>
      <c r="M6" s="558">
        <f>M4*M5</f>
        <v>113920.08</v>
      </c>
      <c r="N6" t="s">
        <v>483</v>
      </c>
    </row>
    <row r="7" spans="1:14" ht="14.6" x14ac:dyDescent="0.4">
      <c r="A7" s="583" t="s">
        <v>480</v>
      </c>
      <c r="B7" s="26" t="s">
        <v>479</v>
      </c>
      <c r="C7" s="27"/>
      <c r="D7" s="26"/>
      <c r="E7" s="28">
        <v>120000</v>
      </c>
      <c r="F7" s="30">
        <v>-117734.77</v>
      </c>
      <c r="G7" s="30">
        <f>SUM(E7:F7)</f>
        <v>2265.2299999999959</v>
      </c>
      <c r="H7" s="30">
        <f>((2*30)*14)*36</f>
        <v>30240</v>
      </c>
      <c r="I7" s="581"/>
      <c r="J7" s="3"/>
      <c r="M7" s="558">
        <f>M6*0.25</f>
        <v>28480.02</v>
      </c>
      <c r="N7" t="s">
        <v>484</v>
      </c>
    </row>
    <row r="8" spans="1:14" ht="14.6" x14ac:dyDescent="0.4">
      <c r="A8" s="582" t="s">
        <v>480</v>
      </c>
      <c r="B8" s="46" t="s">
        <v>47</v>
      </c>
      <c r="C8" s="47"/>
      <c r="D8" s="46"/>
      <c r="E8" s="358">
        <v>26000</v>
      </c>
      <c r="F8" s="44">
        <v>-24937.5</v>
      </c>
      <c r="G8" s="44">
        <f>SUM(E8:F8)</f>
        <v>1062.5</v>
      </c>
      <c r="H8" s="45">
        <v>36000</v>
      </c>
      <c r="I8" s="14"/>
      <c r="J8" s="3"/>
      <c r="M8" s="558">
        <f>M4+M6</f>
        <v>3911256.08</v>
      </c>
      <c r="N8" t="s">
        <v>485</v>
      </c>
    </row>
    <row r="9" spans="1:14" thickBot="1" x14ac:dyDescent="0.45">
      <c r="A9" s="48"/>
      <c r="B9" s="49" t="s">
        <v>49</v>
      </c>
      <c r="C9" s="50"/>
      <c r="D9" s="364">
        <f>SUM('3% Overview'!K2)</f>
        <v>3.679091264457679E-4</v>
      </c>
      <c r="E9" s="359">
        <f>(SUM(E3:E8))</f>
        <v>4350500</v>
      </c>
      <c r="F9" s="52">
        <f>SUM(F3:F8)</f>
        <v>-3549659.06</v>
      </c>
      <c r="G9" s="52">
        <f>SUM(E9:F9)</f>
        <v>800840.94</v>
      </c>
      <c r="H9" s="61">
        <f>SUM(H3:H8)</f>
        <v>4348819.91</v>
      </c>
      <c r="I9" s="14"/>
      <c r="J9" s="3"/>
      <c r="M9" s="558"/>
    </row>
    <row r="10" spans="1:14" ht="13.5" customHeight="1" thickTop="1" x14ac:dyDescent="0.4">
      <c r="A10" s="64"/>
      <c r="B10" s="64"/>
      <c r="C10" s="65"/>
      <c r="D10" s="66"/>
      <c r="E10" s="67"/>
      <c r="F10" s="67"/>
      <c r="G10" s="67"/>
      <c r="H10" s="67"/>
      <c r="I10" s="14"/>
      <c r="J10" s="3"/>
      <c r="M10" s="558">
        <v>4239580</v>
      </c>
      <c r="N10" t="s">
        <v>486</v>
      </c>
    </row>
    <row r="11" spans="1:14" ht="19.5" customHeight="1" x14ac:dyDescent="0.5">
      <c r="A11" s="68" t="s">
        <v>16</v>
      </c>
      <c r="B11" s="22"/>
      <c r="C11" s="24"/>
      <c r="D11" s="22"/>
      <c r="E11" s="22"/>
      <c r="F11" s="22"/>
      <c r="G11" s="22"/>
      <c r="H11" s="22"/>
      <c r="I11" s="25"/>
      <c r="J11" s="3"/>
      <c r="M11" s="558">
        <f>M10-M8</f>
        <v>328323.91999999993</v>
      </c>
      <c r="N11" t="s">
        <v>487</v>
      </c>
    </row>
    <row r="12" spans="1:14" ht="14.6" x14ac:dyDescent="0.4">
      <c r="A12" s="38"/>
      <c r="B12" s="69" t="s">
        <v>58</v>
      </c>
      <c r="C12" s="70"/>
      <c r="D12" s="17"/>
      <c r="E12" s="17"/>
      <c r="F12" s="17"/>
      <c r="G12" s="17"/>
      <c r="H12" s="17"/>
      <c r="I12" s="14"/>
      <c r="J12" s="3"/>
      <c r="M12" s="558">
        <v>140000</v>
      </c>
      <c r="N12" t="s">
        <v>488</v>
      </c>
    </row>
    <row r="13" spans="1:14" ht="14.6" x14ac:dyDescent="0.4">
      <c r="A13" s="811" t="s">
        <v>540</v>
      </c>
      <c r="B13" s="812" t="s">
        <v>562</v>
      </c>
      <c r="C13" s="803"/>
      <c r="D13" s="812"/>
      <c r="E13" s="804">
        <f>((600*12)*32)*0.95</f>
        <v>218880</v>
      </c>
      <c r="F13" s="813">
        <f>-(150367.56+21599.76+10522.96)</f>
        <v>-182490.28</v>
      </c>
      <c r="G13" s="813">
        <f>SUM(E13:F13)</f>
        <v>36389.72</v>
      </c>
      <c r="H13" s="813">
        <f>(600*12)*30</f>
        <v>216000</v>
      </c>
      <c r="I13" s="14"/>
      <c r="J13" s="3"/>
      <c r="M13" s="558">
        <f>M10-M12</f>
        <v>4099580</v>
      </c>
      <c r="N13" t="s">
        <v>489</v>
      </c>
    </row>
    <row r="14" spans="1:14" ht="14.6" x14ac:dyDescent="0.4">
      <c r="A14" s="38"/>
      <c r="B14" s="39" t="s">
        <v>69</v>
      </c>
      <c r="C14" s="27"/>
      <c r="D14" s="26"/>
      <c r="E14" s="360">
        <f>600*12</f>
        <v>7200</v>
      </c>
      <c r="F14" s="30">
        <v>-5261.48</v>
      </c>
      <c r="G14" s="30">
        <f>SUM(E14:F14)</f>
        <v>1938.5200000000004</v>
      </c>
      <c r="H14" s="30">
        <v>7200</v>
      </c>
      <c r="I14" s="14"/>
      <c r="J14" s="3"/>
      <c r="M14" s="558"/>
    </row>
    <row r="15" spans="1:14" ht="14.6" x14ac:dyDescent="0.4">
      <c r="A15" s="32"/>
      <c r="B15" s="547" t="s">
        <v>518</v>
      </c>
      <c r="C15" s="34"/>
      <c r="D15" s="34"/>
      <c r="E15" s="361">
        <v>1000</v>
      </c>
      <c r="F15" s="91">
        <v>-716.33</v>
      </c>
      <c r="G15" s="91">
        <f>SUM(E15:F15)</f>
        <v>283.66999999999996</v>
      </c>
      <c r="H15" s="93">
        <f>((100*12)*0.54)*10</f>
        <v>6480</v>
      </c>
      <c r="I15" s="14"/>
      <c r="J15" s="3"/>
    </row>
    <row r="16" spans="1:14" ht="14.6" x14ac:dyDescent="0.4">
      <c r="A16" s="64"/>
      <c r="B16" s="95" t="s">
        <v>71</v>
      </c>
      <c r="C16" s="97"/>
      <c r="D16" s="3"/>
      <c r="E16" s="362">
        <f>SUM(E13:E15)</f>
        <v>227080</v>
      </c>
      <c r="F16" s="101">
        <f>SUM(F13:F15)</f>
        <v>-188468.09</v>
      </c>
      <c r="G16" s="101">
        <f>SUM(E16:F16)</f>
        <v>38611.910000000003</v>
      </c>
      <c r="H16" s="103">
        <f>SUM(H13:H15)</f>
        <v>229680</v>
      </c>
      <c r="I16" s="14"/>
      <c r="J16" s="3"/>
    </row>
    <row r="17" spans="1:19" ht="14.6" x14ac:dyDescent="0.4">
      <c r="A17" s="38"/>
      <c r="B17" s="3"/>
      <c r="C17" s="21"/>
      <c r="D17" s="3"/>
      <c r="E17" s="17"/>
      <c r="F17" s="3"/>
      <c r="G17" s="3"/>
      <c r="H17" s="17"/>
      <c r="I17" s="14"/>
      <c r="J17" s="3"/>
      <c r="N17" s="320">
        <f>H3*1.03</f>
        <v>4239579.91</v>
      </c>
    </row>
    <row r="18" spans="1:19" ht="14.6" x14ac:dyDescent="0.4">
      <c r="A18" s="38"/>
      <c r="B18" s="105" t="s">
        <v>75</v>
      </c>
      <c r="C18" s="106"/>
      <c r="D18" s="26"/>
      <c r="E18" s="3"/>
      <c r="F18" s="3"/>
      <c r="G18" s="3"/>
      <c r="H18" s="17"/>
      <c r="I18" s="14"/>
      <c r="J18" s="3"/>
    </row>
    <row r="19" spans="1:19" ht="14.6" x14ac:dyDescent="0.4">
      <c r="A19" s="32"/>
      <c r="B19" s="43" t="s">
        <v>76</v>
      </c>
      <c r="C19" s="34"/>
      <c r="D19" s="108"/>
      <c r="E19" s="35">
        <f>(1*110)*12</f>
        <v>1320</v>
      </c>
      <c r="F19" s="71">
        <v>-1045</v>
      </c>
      <c r="G19" s="71">
        <f>SUM(E19:F19)</f>
        <v>275</v>
      </c>
      <c r="H19" s="71">
        <v>1320</v>
      </c>
      <c r="I19" s="14"/>
      <c r="J19" s="3"/>
    </row>
    <row r="20" spans="1:19" ht="14.6" x14ac:dyDescent="0.4">
      <c r="A20" s="110"/>
      <c r="B20" s="26" t="s">
        <v>77</v>
      </c>
      <c r="C20" s="27"/>
      <c r="D20" s="3"/>
      <c r="E20" s="360">
        <f>(90*4)*12</f>
        <v>4320</v>
      </c>
      <c r="F20" s="30">
        <f>-(1710+2565)</f>
        <v>-4275</v>
      </c>
      <c r="G20" s="30">
        <f>SUM(E20:F20)</f>
        <v>45</v>
      </c>
      <c r="H20" s="30">
        <v>4320</v>
      </c>
      <c r="I20" s="14"/>
      <c r="J20" s="3"/>
    </row>
    <row r="21" spans="1:19" ht="14.6" x14ac:dyDescent="0.4">
      <c r="A21" s="112"/>
      <c r="B21" s="43" t="s">
        <v>79</v>
      </c>
      <c r="C21" s="34"/>
      <c r="D21" s="108"/>
      <c r="E21" s="361">
        <f>(70*11)*12</f>
        <v>9240</v>
      </c>
      <c r="F21" s="114">
        <f>-(2730+4025)</f>
        <v>-6755</v>
      </c>
      <c r="G21" s="114">
        <f>SUM(E21:F21)</f>
        <v>2485</v>
      </c>
      <c r="H21" s="114">
        <v>9240</v>
      </c>
      <c r="I21" s="14"/>
      <c r="J21" s="3"/>
    </row>
    <row r="22" spans="1:19" ht="14.6" x14ac:dyDescent="0.4">
      <c r="A22" s="64"/>
      <c r="B22" s="95" t="s">
        <v>71</v>
      </c>
      <c r="C22" s="97"/>
      <c r="D22" s="3"/>
      <c r="E22" s="362">
        <f>SUM(E19:E21)</f>
        <v>14880</v>
      </c>
      <c r="F22" s="103">
        <f>SUM(F19:F21)</f>
        <v>-12075</v>
      </c>
      <c r="G22" s="103">
        <f>SUM(E22:F22)</f>
        <v>2805</v>
      </c>
      <c r="H22" s="103">
        <f>SUM(H19:H21)</f>
        <v>14880</v>
      </c>
      <c r="I22" s="14"/>
      <c r="J22" s="3"/>
    </row>
    <row r="23" spans="1:19" ht="14.6" x14ac:dyDescent="0.4">
      <c r="A23" s="64"/>
      <c r="B23" s="95"/>
      <c r="C23" s="97"/>
      <c r="D23" s="3"/>
      <c r="E23" s="363"/>
      <c r="F23" s="103"/>
      <c r="G23" s="103"/>
      <c r="H23" s="103"/>
      <c r="I23" s="14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6" x14ac:dyDescent="0.4">
      <c r="A24" s="64"/>
      <c r="B24" s="117" t="s">
        <v>80</v>
      </c>
      <c r="C24" s="118"/>
      <c r="D24" s="3"/>
      <c r="E24" s="103"/>
      <c r="F24" s="103"/>
      <c r="G24" s="103"/>
      <c r="H24" s="103"/>
      <c r="I24" s="14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6" x14ac:dyDescent="0.4">
      <c r="A25" s="119"/>
      <c r="B25" s="121" t="s">
        <v>81</v>
      </c>
      <c r="C25" s="123"/>
      <c r="D25" s="10">
        <v>1000</v>
      </c>
      <c r="E25" s="35">
        <f t="shared" ref="E25:E29" si="0">C25*D25</f>
        <v>0</v>
      </c>
      <c r="F25" s="125"/>
      <c r="G25" s="125"/>
      <c r="H25" s="71">
        <v>0</v>
      </c>
      <c r="I25" s="14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6" x14ac:dyDescent="0.4">
      <c r="A26" s="127"/>
      <c r="B26" s="39" t="s">
        <v>83</v>
      </c>
      <c r="C26" s="128">
        <v>1</v>
      </c>
      <c r="D26" s="20">
        <v>1000</v>
      </c>
      <c r="E26" s="360">
        <f t="shared" si="0"/>
        <v>1000</v>
      </c>
      <c r="F26" s="103"/>
      <c r="G26" s="103"/>
      <c r="H26" s="30">
        <v>1000</v>
      </c>
      <c r="I26" s="14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6" x14ac:dyDescent="0.4">
      <c r="A27" s="119"/>
      <c r="B27" s="121" t="s">
        <v>85</v>
      </c>
      <c r="C27" s="123"/>
      <c r="D27" s="10">
        <v>1000</v>
      </c>
      <c r="E27" s="35">
        <f t="shared" si="0"/>
        <v>0</v>
      </c>
      <c r="F27" s="125"/>
      <c r="G27" s="125"/>
      <c r="H27" s="71">
        <v>0</v>
      </c>
      <c r="I27" s="14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6" x14ac:dyDescent="0.4">
      <c r="A28" s="127"/>
      <c r="B28" s="39" t="s">
        <v>86</v>
      </c>
      <c r="C28" s="128"/>
      <c r="D28" s="20">
        <v>1500</v>
      </c>
      <c r="E28" s="360">
        <f t="shared" si="0"/>
        <v>0</v>
      </c>
      <c r="F28" s="103"/>
      <c r="G28" s="103"/>
      <c r="H28" s="30">
        <v>0</v>
      </c>
      <c r="I28" s="14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6" x14ac:dyDescent="0.4">
      <c r="A29" s="119"/>
      <c r="B29" s="121" t="s">
        <v>87</v>
      </c>
      <c r="C29" s="123">
        <v>5</v>
      </c>
      <c r="D29" s="10">
        <v>2000</v>
      </c>
      <c r="E29" s="361">
        <f t="shared" si="0"/>
        <v>10000</v>
      </c>
      <c r="F29" s="130"/>
      <c r="G29" s="130"/>
      <c r="H29" s="114">
        <v>10000</v>
      </c>
      <c r="I29" s="14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6" x14ac:dyDescent="0.4">
      <c r="A30" s="64"/>
      <c r="B30" s="39"/>
      <c r="C30" s="27"/>
      <c r="D30" s="3"/>
      <c r="E30" s="362">
        <f>SUM(E25:E29)</f>
        <v>11000</v>
      </c>
      <c r="F30" s="103"/>
      <c r="G30" s="103"/>
      <c r="H30" s="103">
        <f>SUM(H25:H29)</f>
        <v>11000</v>
      </c>
      <c r="I30" s="14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6" x14ac:dyDescent="0.4">
      <c r="A31" s="64"/>
      <c r="B31" s="39"/>
      <c r="C31" s="27"/>
      <c r="D31" s="3"/>
      <c r="E31" s="30"/>
      <c r="F31" s="103"/>
      <c r="G31" s="103"/>
      <c r="H31" s="30"/>
      <c r="I31" s="14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thickBot="1" x14ac:dyDescent="0.45">
      <c r="A32" s="64"/>
      <c r="B32" s="49" t="s">
        <v>49</v>
      </c>
      <c r="C32" s="50"/>
      <c r="D32" s="364">
        <f>SUM('3% Overview'!K3)</f>
        <v>-1.0172143974960876E-2</v>
      </c>
      <c r="E32" s="365">
        <f>SUM(E16+E22+E30)</f>
        <v>252960</v>
      </c>
      <c r="F32" s="52">
        <f>F30+F22+F16</f>
        <v>-200543.09</v>
      </c>
      <c r="G32" s="52">
        <f>SUM(E32:F32)</f>
        <v>52416.91</v>
      </c>
      <c r="H32" s="61">
        <f>SUM(H16+H22+H30)</f>
        <v>255560</v>
      </c>
      <c r="I32" s="14"/>
      <c r="J32" s="3"/>
    </row>
    <row r="33" spans="1:26" thickTop="1" x14ac:dyDescent="0.4">
      <c r="A33" s="38"/>
      <c r="B33" s="38"/>
      <c r="C33" s="135"/>
      <c r="D33" s="38"/>
      <c r="E33" s="38"/>
      <c r="F33" s="38"/>
      <c r="G33" s="38"/>
      <c r="H33" s="66"/>
      <c r="I33" s="14"/>
      <c r="J33" s="3"/>
    </row>
    <row r="34" spans="1:26" ht="19.5" customHeight="1" x14ac:dyDescent="0.5">
      <c r="A34" s="68" t="s">
        <v>89</v>
      </c>
      <c r="B34" s="136"/>
      <c r="C34" s="138"/>
      <c r="D34" s="136"/>
      <c r="E34" s="136"/>
      <c r="F34" s="136"/>
      <c r="G34" s="136"/>
      <c r="H34" s="136"/>
      <c r="I34" s="25"/>
      <c r="J34" s="3"/>
    </row>
    <row r="35" spans="1:26" s="491" customFormat="1" ht="14.6" x14ac:dyDescent="0.4">
      <c r="A35" s="816" t="s">
        <v>564</v>
      </c>
      <c r="B35" s="715" t="s">
        <v>567</v>
      </c>
      <c r="C35" s="716"/>
      <c r="D35" s="716"/>
      <c r="E35" s="360">
        <f>ROUND((32.26*71*8)+((32.26*105%)*71*4),0)</f>
        <v>27944</v>
      </c>
      <c r="F35" s="817">
        <f>-(20357.17-1568.86)</f>
        <v>-18788.309999999998</v>
      </c>
      <c r="G35" s="817">
        <f>SUM(E35:F35)</f>
        <v>9155.6900000000023</v>
      </c>
      <c r="H35" s="764">
        <v>29435</v>
      </c>
      <c r="I35" s="695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</row>
    <row r="36" spans="1:26" s="491" customFormat="1" ht="14.6" x14ac:dyDescent="0.4">
      <c r="A36" s="820" t="s">
        <v>564</v>
      </c>
      <c r="B36" s="821" t="s">
        <v>568</v>
      </c>
      <c r="C36" s="822"/>
      <c r="D36" s="822"/>
      <c r="E36" s="824">
        <f>((616.18-10)*71*8)+(((616.18-10)*115%)*71*4)</f>
        <v>542288.62799999991</v>
      </c>
      <c r="F36" s="826">
        <f>-(495437.35-680-21593.88)</f>
        <v>-473163.47</v>
      </c>
      <c r="G36" s="826">
        <f>SUM(E36:F36)</f>
        <v>69125.157999999938</v>
      </c>
      <c r="H36" s="825">
        <f>(((686.2-55.6)*69)*12)</f>
        <v>522136.80000000005</v>
      </c>
      <c r="I36" s="818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33"/>
      <c r="V36" s="433"/>
      <c r="W36" s="433"/>
      <c r="X36" s="433"/>
      <c r="Y36" s="433"/>
      <c r="Z36" s="433"/>
    </row>
    <row r="37" spans="1:26" s="491" customFormat="1" ht="14.6" x14ac:dyDescent="0.4">
      <c r="A37" s="819"/>
      <c r="B37" s="715" t="s">
        <v>566</v>
      </c>
      <c r="C37" s="716"/>
      <c r="D37" s="716"/>
      <c r="E37" s="360">
        <f>(134.3*20*12)</f>
        <v>32232</v>
      </c>
      <c r="F37" s="810"/>
      <c r="G37" s="810"/>
      <c r="H37" s="810">
        <f>(101.35*20*12)</f>
        <v>24324</v>
      </c>
      <c r="I37" s="695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33"/>
      <c r="W37" s="433"/>
      <c r="X37" s="433"/>
      <c r="Y37" s="433"/>
      <c r="Z37" s="433"/>
    </row>
    <row r="38" spans="1:26" s="491" customFormat="1" ht="14.6" x14ac:dyDescent="0.4">
      <c r="A38" s="820" t="s">
        <v>564</v>
      </c>
      <c r="B38" s="821" t="s">
        <v>569</v>
      </c>
      <c r="C38" s="822"/>
      <c r="D38" s="823"/>
      <c r="E38" s="824">
        <f>((6.17*71)*8)+((6.17*105%)*71*4)</f>
        <v>5344.4539999999997</v>
      </c>
      <c r="F38" s="825"/>
      <c r="G38" s="825"/>
      <c r="H38" s="825">
        <f>((9.92*69)*12)</f>
        <v>8213.76</v>
      </c>
      <c r="I38" s="818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</row>
    <row r="39" spans="1:26" ht="14.6" x14ac:dyDescent="0.4">
      <c r="A39" s="583" t="s">
        <v>96</v>
      </c>
      <c r="B39" s="546" t="s">
        <v>515</v>
      </c>
      <c r="C39" s="27"/>
      <c r="D39" s="156"/>
      <c r="E39" s="360">
        <f>((((3.94*71)*12)+2370))</f>
        <v>5726.88</v>
      </c>
      <c r="F39" s="30">
        <v>-3400.95</v>
      </c>
      <c r="G39" s="30">
        <f>SUM(E39:F39)</f>
        <v>2325.9300000000003</v>
      </c>
      <c r="H39" s="30">
        <f>((((3.94*69)*12)+2370))</f>
        <v>5632.32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6" x14ac:dyDescent="0.4">
      <c r="A40" s="582" t="s">
        <v>98</v>
      </c>
      <c r="B40" s="121" t="s">
        <v>565</v>
      </c>
      <c r="C40" s="47"/>
      <c r="D40" s="158"/>
      <c r="E40" s="35">
        <f>(((E3+E4)*0.315%))</f>
        <v>13108.725</v>
      </c>
      <c r="F40" s="71">
        <v>-10055.790000000001</v>
      </c>
      <c r="G40" s="71">
        <f>SUM(E40:F40)</f>
        <v>3052.9349999999995</v>
      </c>
      <c r="H40" s="71">
        <f>((H3+H4)*0.315%)</f>
        <v>13354.6767165</v>
      </c>
      <c r="I40" s="1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thickBot="1" x14ac:dyDescent="0.45">
      <c r="A41" s="584"/>
      <c r="B41" s="49" t="s">
        <v>49</v>
      </c>
      <c r="C41" s="50"/>
      <c r="D41" s="364">
        <f>SUM('3% Overview'!K4)</f>
        <v>3.9131155695572871E-2</v>
      </c>
      <c r="E41" s="365">
        <f>SUM(E35:E40)</f>
        <v>626644.68699999992</v>
      </c>
      <c r="F41" s="880">
        <f>SUM(F35:F40)</f>
        <v>-505408.51999999996</v>
      </c>
      <c r="G41" s="52">
        <f>SUM(E41:F41)</f>
        <v>121236.16699999996</v>
      </c>
      <c r="H41" s="163">
        <f>SUM(H35:H40)</f>
        <v>603096.55671649997</v>
      </c>
      <c r="I41" s="165"/>
      <c r="J41" s="3"/>
    </row>
    <row r="42" spans="1:26" ht="19.75" thickTop="1" x14ac:dyDescent="0.5">
      <c r="A42" s="693"/>
      <c r="B42" s="518"/>
      <c r="C42" s="694"/>
      <c r="D42" s="518"/>
      <c r="E42" s="518"/>
      <c r="F42" s="518"/>
      <c r="G42" s="518"/>
      <c r="H42" s="518"/>
      <c r="I42" s="695"/>
      <c r="J42" s="3"/>
    </row>
    <row r="43" spans="1:26" ht="20.25" customHeight="1" x14ac:dyDescent="0.5">
      <c r="A43" s="68" t="s">
        <v>19</v>
      </c>
      <c r="B43" s="136"/>
      <c r="C43" s="138"/>
      <c r="D43" s="136"/>
      <c r="E43" s="136"/>
      <c r="F43" s="136"/>
      <c r="G43" s="136"/>
      <c r="H43" s="136"/>
      <c r="I43" s="696"/>
      <c r="J43" s="3"/>
    </row>
    <row r="44" spans="1:26" ht="14.6" x14ac:dyDescent="0.4">
      <c r="A44" s="587" t="s">
        <v>540</v>
      </c>
      <c r="B44" s="39" t="s">
        <v>539</v>
      </c>
      <c r="C44" s="27"/>
      <c r="D44" s="27"/>
      <c r="E44" s="360">
        <f>SUM(E3:E6)*0.97</f>
        <v>4078365</v>
      </c>
      <c r="F44" s="29"/>
      <c r="G44" s="29"/>
      <c r="H44" s="181">
        <f>SUM(H3:H6)</f>
        <v>4282579.91</v>
      </c>
      <c r="I44" s="697"/>
      <c r="J44" s="3"/>
    </row>
    <row r="45" spans="1:26" ht="14.6" x14ac:dyDescent="0.4">
      <c r="A45" s="586"/>
      <c r="B45" s="33" t="s">
        <v>115</v>
      </c>
      <c r="C45" s="34"/>
      <c r="D45" s="108"/>
      <c r="E45" s="361">
        <f>SUM(E13+E14+E30)</f>
        <v>237080</v>
      </c>
      <c r="F45" s="114"/>
      <c r="G45" s="114"/>
      <c r="H45" s="114">
        <v>234200</v>
      </c>
      <c r="I45" s="14"/>
      <c r="J45" s="3"/>
    </row>
    <row r="46" spans="1:26" ht="14.6" x14ac:dyDescent="0.4">
      <c r="A46" s="585"/>
      <c r="B46" s="39"/>
      <c r="C46" s="27"/>
      <c r="D46" s="17"/>
      <c r="E46" s="360">
        <f>SUM(E44:E45)</f>
        <v>4315445</v>
      </c>
      <c r="F46" s="101"/>
      <c r="G46" s="101"/>
      <c r="H46" s="103">
        <f>SUM(H44:H45)</f>
        <v>4516779.91</v>
      </c>
      <c r="I46" s="14"/>
      <c r="J46" s="3"/>
    </row>
    <row r="47" spans="1:26" ht="14.6" x14ac:dyDescent="0.4">
      <c r="A47" s="587"/>
      <c r="B47" s="26"/>
      <c r="C47" s="27"/>
      <c r="D47" s="27"/>
      <c r="E47" s="30"/>
      <c r="F47" s="30"/>
      <c r="G47" s="30"/>
      <c r="H47" s="30"/>
      <c r="I47" s="14"/>
      <c r="J47" s="3"/>
    </row>
    <row r="48" spans="1:26" ht="14.6" x14ac:dyDescent="0.4">
      <c r="A48" s="588" t="s">
        <v>116</v>
      </c>
      <c r="B48" s="189" t="s">
        <v>474</v>
      </c>
      <c r="C48" s="191"/>
      <c r="D48" s="192"/>
      <c r="E48" s="361">
        <f>E46*0.16%</f>
        <v>6904.7120000000004</v>
      </c>
      <c r="F48" s="194"/>
      <c r="G48" s="194"/>
      <c r="H48" s="370">
        <v>8130</v>
      </c>
      <c r="I48" s="14"/>
      <c r="J48" s="3"/>
    </row>
    <row r="49" spans="1:19" thickBot="1" x14ac:dyDescent="0.45">
      <c r="A49" s="587"/>
      <c r="B49" s="49"/>
      <c r="C49" s="50"/>
      <c r="D49" s="3"/>
      <c r="E49" s="360">
        <f>SUM(E48)</f>
        <v>6904.7120000000004</v>
      </c>
      <c r="F49" s="197"/>
      <c r="G49" s="197"/>
      <c r="H49" s="371">
        <f>SUM(H48)</f>
        <v>8130</v>
      </c>
      <c r="I49" s="14"/>
      <c r="J49" s="3"/>
    </row>
    <row r="50" spans="1:19" thickTop="1" x14ac:dyDescent="0.4">
      <c r="A50" s="587"/>
      <c r="B50" s="38"/>
      <c r="C50" s="135"/>
      <c r="D50" s="38"/>
      <c r="E50" s="38"/>
      <c r="F50" s="38"/>
      <c r="G50" s="38"/>
      <c r="H50" s="67"/>
      <c r="I50" s="14"/>
      <c r="J50" s="3"/>
    </row>
    <row r="51" spans="1:19" ht="14.6" x14ac:dyDescent="0.4">
      <c r="A51" s="587" t="s">
        <v>476</v>
      </c>
      <c r="B51" s="539" t="s">
        <v>475</v>
      </c>
      <c r="C51" s="200"/>
      <c r="D51" s="38"/>
      <c r="E51" s="360">
        <f>E46*16.19%</f>
        <v>698670.54550000012</v>
      </c>
      <c r="F51" s="203"/>
      <c r="G51" s="203"/>
      <c r="H51" s="67">
        <v>728105</v>
      </c>
      <c r="I51" s="25"/>
      <c r="J51" s="3"/>
    </row>
    <row r="52" spans="1:19" ht="14.6" x14ac:dyDescent="0.4">
      <c r="A52" s="588" t="s">
        <v>116</v>
      </c>
      <c r="B52" s="538" t="s">
        <v>474</v>
      </c>
      <c r="C52" s="191"/>
      <c r="D52" s="32"/>
      <c r="E52" s="361">
        <f>E46*0.16%</f>
        <v>6904.7120000000004</v>
      </c>
      <c r="F52" s="206"/>
      <c r="G52" s="206"/>
      <c r="H52" s="372">
        <v>8130</v>
      </c>
      <c r="I52" s="25"/>
      <c r="J52" s="3"/>
    </row>
    <row r="53" spans="1:19" ht="14.6" x14ac:dyDescent="0.4">
      <c r="A53" s="589"/>
      <c r="B53" s="49"/>
      <c r="C53" s="220"/>
      <c r="D53" s="364">
        <f>(E53-H53)/H53</f>
        <v>-4.1643962185986566E-2</v>
      </c>
      <c r="E53" s="360">
        <f>SUM(E51:E52)</f>
        <v>705575.25750000018</v>
      </c>
      <c r="F53" s="203"/>
      <c r="G53" s="203"/>
      <c r="H53" s="373">
        <f>SUM(H51:H52)</f>
        <v>736235</v>
      </c>
      <c r="I53" s="25"/>
      <c r="J53" s="3"/>
    </row>
    <row r="54" spans="1:19" ht="14.6" x14ac:dyDescent="0.4">
      <c r="A54" s="585"/>
      <c r="B54" s="203"/>
      <c r="C54" s="220"/>
      <c r="D54" s="51"/>
      <c r="E54" s="224"/>
      <c r="F54" s="203"/>
      <c r="G54" s="203"/>
      <c r="H54" s="67"/>
      <c r="I54" s="25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4.6" x14ac:dyDescent="0.4">
      <c r="A55" s="588" t="s">
        <v>132</v>
      </c>
      <c r="B55" s="540" t="s">
        <v>477</v>
      </c>
      <c r="C55" s="226"/>
      <c r="D55" s="192"/>
      <c r="E55" s="35">
        <f>E46*16.63%</f>
        <v>717658.50349999999</v>
      </c>
      <c r="F55" s="206">
        <v>-563594.88</v>
      </c>
      <c r="G55" s="206">
        <f>SUM(E55:F55)</f>
        <v>154063.62349999999</v>
      </c>
      <c r="H55" s="372">
        <v>752044</v>
      </c>
      <c r="I55" s="25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4.6" x14ac:dyDescent="0.4">
      <c r="A56" s="587" t="s">
        <v>462</v>
      </c>
      <c r="B56" s="203" t="s">
        <v>490</v>
      </c>
      <c r="C56" s="220"/>
      <c r="D56" s="51"/>
      <c r="E56" s="224"/>
      <c r="F56" s="203"/>
      <c r="G56" s="203"/>
      <c r="H56" s="67"/>
      <c r="I56" s="25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thickBot="1" x14ac:dyDescent="0.45">
      <c r="A57" s="585"/>
      <c r="B57" s="49" t="s">
        <v>49</v>
      </c>
      <c r="C57" s="220"/>
      <c r="D57" s="364">
        <f>SUM('3% Overview'!K5)</f>
        <v>-4.5738598590612953E-2</v>
      </c>
      <c r="E57" s="365">
        <f>SUM(E55:E56)</f>
        <v>717658.50349999999</v>
      </c>
      <c r="F57" s="231">
        <f>SUM(F55:F56)</f>
        <v>-563594.88</v>
      </c>
      <c r="G57" s="231">
        <f>SUM(E57:F57)</f>
        <v>154063.62349999999</v>
      </c>
      <c r="H57" s="374">
        <v>752044</v>
      </c>
      <c r="I57" s="25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thickTop="1" x14ac:dyDescent="0.4">
      <c r="A58" s="38"/>
      <c r="B58" s="203"/>
      <c r="C58" s="220"/>
      <c r="D58" s="38"/>
      <c r="E58" s="203"/>
      <c r="F58" s="203"/>
      <c r="G58" s="203"/>
      <c r="H58" s="66"/>
      <c r="I58" s="25"/>
      <c r="J58" s="3"/>
    </row>
    <row r="59" spans="1:19" ht="19.5" customHeight="1" x14ac:dyDescent="0.5">
      <c r="A59" s="897" t="s">
        <v>135</v>
      </c>
      <c r="B59" s="898"/>
      <c r="C59" s="898"/>
      <c r="D59" s="898"/>
      <c r="E59" s="898"/>
      <c r="F59" s="898"/>
      <c r="G59" s="898"/>
      <c r="H59" s="899"/>
      <c r="I59" s="25"/>
      <c r="J59" s="3"/>
    </row>
    <row r="60" spans="1:19" ht="14.6" x14ac:dyDescent="0.4">
      <c r="A60" s="38"/>
      <c r="B60" s="3" t="s">
        <v>136</v>
      </c>
      <c r="C60" s="21"/>
      <c r="D60" s="3"/>
      <c r="E60" s="360">
        <f>(2003*4)*110%</f>
        <v>8813.2000000000007</v>
      </c>
      <c r="F60" s="881">
        <v>-7602</v>
      </c>
      <c r="G60" s="181">
        <f>SUM(E60:F60)</f>
        <v>1211.2000000000007</v>
      </c>
      <c r="H60" s="181">
        <f>(2022*4)*110%</f>
        <v>8896.8000000000011</v>
      </c>
      <c r="I60" s="14"/>
      <c r="J60" s="3"/>
    </row>
    <row r="61" spans="1:19" thickBot="1" x14ac:dyDescent="0.45">
      <c r="A61" s="232"/>
      <c r="B61" s="233" t="s">
        <v>49</v>
      </c>
      <c r="C61" s="234"/>
      <c r="D61" s="366">
        <f>SUM('3% Overview'!K6)</f>
        <v>0</v>
      </c>
      <c r="E61" s="369">
        <f>SUM(E60)</f>
        <v>8813.2000000000007</v>
      </c>
      <c r="F61" s="882">
        <f>SUM(F60)</f>
        <v>-7602</v>
      </c>
      <c r="G61" s="883">
        <f>SUM(E61:F61)</f>
        <v>1211.2000000000007</v>
      </c>
      <c r="H61" s="375">
        <f>SUM(H60)</f>
        <v>8896.8000000000011</v>
      </c>
      <c r="I61" s="14"/>
      <c r="J61" s="3"/>
    </row>
    <row r="62" spans="1:19" thickTop="1" x14ac:dyDescent="0.4">
      <c r="A62" s="38"/>
      <c r="B62" s="38"/>
      <c r="C62" s="135"/>
      <c r="D62" s="38"/>
      <c r="E62" s="38"/>
      <c r="F62" s="38"/>
      <c r="G62" s="38"/>
      <c r="H62" s="66"/>
      <c r="I62" s="14"/>
      <c r="J62" s="3"/>
    </row>
    <row r="63" spans="1:19" ht="19.5" customHeight="1" x14ac:dyDescent="0.5">
      <c r="A63" s="897" t="s">
        <v>138</v>
      </c>
      <c r="B63" s="898"/>
      <c r="C63" s="898"/>
      <c r="D63" s="898"/>
      <c r="E63" s="898"/>
      <c r="F63" s="898"/>
      <c r="G63" s="898"/>
      <c r="H63" s="899"/>
      <c r="I63" s="25"/>
      <c r="J63" s="3"/>
    </row>
    <row r="64" spans="1:19" ht="14.6" x14ac:dyDescent="0.4">
      <c r="A64" s="38"/>
      <c r="B64" s="240" t="s">
        <v>139</v>
      </c>
      <c r="C64" s="106"/>
      <c r="D64" s="26"/>
      <c r="E64" s="26"/>
      <c r="F64" s="26"/>
      <c r="G64" s="26"/>
      <c r="H64" s="26"/>
      <c r="I64" s="14"/>
      <c r="J64" s="3"/>
    </row>
    <row r="65" spans="1:19" ht="14.6" x14ac:dyDescent="0.4">
      <c r="A65" s="714"/>
      <c r="B65" s="715" t="s">
        <v>140</v>
      </c>
      <c r="C65" s="716"/>
      <c r="D65" s="715"/>
      <c r="E65" s="360">
        <f>SUM(E3+E4+E5+E6+E7+E13+E14+E30)</f>
        <v>4561580</v>
      </c>
      <c r="F65" s="717"/>
      <c r="G65" s="717"/>
      <c r="H65" s="718">
        <f>SUM(H3+H4+H5+H6+H7+H13+H14+H30)</f>
        <v>4547019.91</v>
      </c>
      <c r="I65" s="14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4.6" x14ac:dyDescent="0.4">
      <c r="A66" s="32"/>
      <c r="B66" s="33" t="s">
        <v>143</v>
      </c>
      <c r="C66" s="34"/>
      <c r="D66" s="34"/>
      <c r="E66" s="56">
        <v>1.4500000000000001E-2</v>
      </c>
      <c r="F66" s="244"/>
      <c r="G66" s="244"/>
      <c r="H66" s="56">
        <v>1.4500000000000001E-2</v>
      </c>
      <c r="I66" s="14"/>
      <c r="J66" s="3"/>
    </row>
    <row r="67" spans="1:19" ht="14.6" x14ac:dyDescent="0.4">
      <c r="A67" s="38"/>
      <c r="B67" s="95" t="s">
        <v>144</v>
      </c>
      <c r="C67" s="97"/>
      <c r="D67" s="26"/>
      <c r="E67" s="360">
        <f>(E65*E66)</f>
        <v>66142.91</v>
      </c>
      <c r="F67" s="242"/>
      <c r="G67" s="242"/>
      <c r="H67" s="30">
        <f>H65*H66</f>
        <v>65931.78869500001</v>
      </c>
      <c r="I67" s="14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4.6" x14ac:dyDescent="0.4">
      <c r="A68" s="38"/>
      <c r="B68" s="240"/>
      <c r="C68" s="106"/>
      <c r="D68" s="26"/>
      <c r="E68" s="228"/>
      <c r="F68" s="228"/>
      <c r="G68" s="228"/>
      <c r="H68" s="228"/>
      <c r="I68" s="14"/>
      <c r="J68" s="3"/>
    </row>
    <row r="69" spans="1:19" ht="14.6" x14ac:dyDescent="0.4">
      <c r="A69" s="38"/>
      <c r="B69" s="240"/>
      <c r="C69" s="106"/>
      <c r="D69" s="26"/>
      <c r="E69" s="228"/>
      <c r="F69" s="228"/>
      <c r="G69" s="228"/>
      <c r="H69" s="228"/>
      <c r="I69" s="14"/>
      <c r="J69" s="3"/>
    </row>
    <row r="70" spans="1:19" ht="14.6" x14ac:dyDescent="0.4">
      <c r="A70" s="38"/>
      <c r="B70" s="240" t="s">
        <v>145</v>
      </c>
      <c r="C70" s="106"/>
      <c r="D70" s="26"/>
      <c r="E70" s="26"/>
      <c r="F70" s="26"/>
      <c r="G70" s="26"/>
      <c r="H70" s="26"/>
      <c r="I70" s="14"/>
      <c r="J70" s="3"/>
    </row>
    <row r="71" spans="1:19" ht="14.6" x14ac:dyDescent="0.4">
      <c r="A71" s="814" t="s">
        <v>558</v>
      </c>
      <c r="B71" s="715" t="s">
        <v>491</v>
      </c>
      <c r="C71" s="716"/>
      <c r="D71" s="715"/>
      <c r="E71" s="815">
        <f>SUM(E7-100000)</f>
        <v>20000</v>
      </c>
      <c r="F71" s="810"/>
      <c r="G71" s="810"/>
      <c r="H71" s="810">
        <f>SUM(H7)</f>
        <v>30240</v>
      </c>
      <c r="I71" s="14"/>
      <c r="J71" s="3"/>
    </row>
    <row r="72" spans="1:19" ht="14.6" x14ac:dyDescent="0.4">
      <c r="A72" s="32"/>
      <c r="B72" s="33" t="s">
        <v>147</v>
      </c>
      <c r="C72" s="34"/>
      <c r="D72" s="33"/>
      <c r="E72" s="367">
        <v>6.2E-2</v>
      </c>
      <c r="F72" s="244"/>
      <c r="G72" s="244"/>
      <c r="H72" s="56">
        <v>6.2E-2</v>
      </c>
      <c r="I72" s="14"/>
      <c r="J72" s="3"/>
    </row>
    <row r="73" spans="1:19" ht="14.6" x14ac:dyDescent="0.4">
      <c r="A73" s="64"/>
      <c r="B73" s="95" t="s">
        <v>144</v>
      </c>
      <c r="C73" s="97"/>
      <c r="D73" s="26"/>
      <c r="E73" s="360">
        <f>E71*E72</f>
        <v>1240</v>
      </c>
      <c r="F73" s="228"/>
      <c r="G73" s="228"/>
      <c r="H73" s="30">
        <f>H71*H72</f>
        <v>1874.8799999999999</v>
      </c>
      <c r="I73" s="14"/>
      <c r="J73" s="3"/>
    </row>
    <row r="74" spans="1:19" ht="14.6" x14ac:dyDescent="0.4">
      <c r="A74" s="38"/>
      <c r="B74" s="3"/>
      <c r="C74" s="21"/>
      <c r="D74" s="3"/>
      <c r="E74" s="17"/>
      <c r="F74" s="17"/>
      <c r="G74" s="17"/>
      <c r="H74" s="17"/>
      <c r="I74" s="14"/>
      <c r="J74" s="3"/>
    </row>
    <row r="75" spans="1:19" thickBot="1" x14ac:dyDescent="0.45">
      <c r="A75" s="38"/>
      <c r="B75" s="49" t="s">
        <v>49</v>
      </c>
      <c r="C75" s="50"/>
      <c r="D75" s="364">
        <f>SUM('3% Overview'!K7)</f>
        <v>-7.3637702503681884E-3</v>
      </c>
      <c r="E75" s="365">
        <f>SUM(E67+E73)</f>
        <v>67382.91</v>
      </c>
      <c r="F75" s="884">
        <v>-46742.17</v>
      </c>
      <c r="G75" s="250">
        <f>SUM(E75:F75)</f>
        <v>20640.740000000005</v>
      </c>
      <c r="H75" s="61">
        <f>SUM(H67+H73)</f>
        <v>67806.668695000015</v>
      </c>
      <c r="I75" s="14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5.45" thickTop="1" thickBot="1" x14ac:dyDescent="0.45">
      <c r="A76" s="38"/>
      <c r="B76" s="3"/>
      <c r="C76" s="21"/>
      <c r="D76" s="3"/>
      <c r="E76" s="3"/>
      <c r="F76" s="3"/>
      <c r="G76" s="3"/>
      <c r="H76" s="17"/>
      <c r="I76" s="14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thickBot="1" x14ac:dyDescent="0.45">
      <c r="A77" s="38"/>
      <c r="B77" s="201" t="s">
        <v>124</v>
      </c>
      <c r="C77" s="252"/>
      <c r="D77" s="364">
        <f>(E77-H77)/H77</f>
        <v>5.8872438636288493E-4</v>
      </c>
      <c r="E77" s="368">
        <f>SUM(E9+E32+E41+E57+E61+E75)</f>
        <v>6023959.3004999999</v>
      </c>
      <c r="F77" s="253">
        <f>SUM(F75+F61+F57+F41+F32+F9)</f>
        <v>-4873549.7200000007</v>
      </c>
      <c r="G77" s="253">
        <f>SUM(E77:F77)</f>
        <v>1150409.5804999992</v>
      </c>
      <c r="H77" s="254">
        <f>SUM(H9+H32+H41+H53+H61+H75)</f>
        <v>6020414.9354114998</v>
      </c>
      <c r="I77" s="14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3.5" customHeight="1" x14ac:dyDescent="0.4">
      <c r="A78" s="38"/>
      <c r="B78" s="38"/>
      <c r="C78" s="135"/>
      <c r="D78" s="255"/>
      <c r="E78" s="38"/>
      <c r="F78" s="38"/>
      <c r="G78" s="38"/>
      <c r="H78" s="66"/>
      <c r="I78" s="14"/>
      <c r="J78" s="3"/>
    </row>
    <row r="79" spans="1:19" ht="14.6" x14ac:dyDescent="0.4">
      <c r="A79" s="3"/>
      <c r="B79" s="3"/>
      <c r="C79" s="21"/>
      <c r="D79" s="3"/>
      <c r="E79" s="3"/>
      <c r="F79" s="3"/>
      <c r="G79" s="3"/>
      <c r="H79" s="3"/>
      <c r="I79" s="165"/>
      <c r="J79" s="3"/>
    </row>
    <row r="80" spans="1:19" ht="14.6" x14ac:dyDescent="0.4">
      <c r="A80" s="3"/>
      <c r="B80" s="3"/>
      <c r="C80" s="21"/>
      <c r="D80" s="3"/>
      <c r="E80" s="3"/>
      <c r="F80" s="3"/>
      <c r="G80" s="3"/>
      <c r="H80" s="3"/>
      <c r="I80" s="165"/>
      <c r="J80" s="3"/>
    </row>
    <row r="81" spans="9:9" ht="14.6" x14ac:dyDescent="0.4">
      <c r="I81" s="165"/>
    </row>
    <row r="82" spans="9:9" ht="14.6" x14ac:dyDescent="0.4">
      <c r="I82" s="165"/>
    </row>
    <row r="83" spans="9:9" ht="14.6" x14ac:dyDescent="0.4">
      <c r="I83" s="165"/>
    </row>
    <row r="84" spans="9:9" ht="14.6" x14ac:dyDescent="0.4">
      <c r="I84" s="165"/>
    </row>
    <row r="85" spans="9:9" ht="14.6" x14ac:dyDescent="0.4">
      <c r="I85" s="165"/>
    </row>
    <row r="86" spans="9:9" ht="14.6" x14ac:dyDescent="0.4">
      <c r="I86" s="165"/>
    </row>
    <row r="87" spans="9:9" ht="14.6" x14ac:dyDescent="0.4">
      <c r="I87" s="165"/>
    </row>
    <row r="88" spans="9:9" ht="14.6" x14ac:dyDescent="0.4">
      <c r="I88" s="165"/>
    </row>
    <row r="89" spans="9:9" ht="14.6" x14ac:dyDescent="0.4">
      <c r="I89" s="165"/>
    </row>
    <row r="90" spans="9:9" ht="14.6" x14ac:dyDescent="0.4">
      <c r="I90" s="165"/>
    </row>
    <row r="91" spans="9:9" ht="14.6" x14ac:dyDescent="0.4">
      <c r="I91" s="165"/>
    </row>
    <row r="92" spans="9:9" ht="14.6" x14ac:dyDescent="0.4">
      <c r="I92" s="165"/>
    </row>
    <row r="93" spans="9:9" ht="14.6" x14ac:dyDescent="0.4">
      <c r="I93" s="165"/>
    </row>
    <row r="94" spans="9:9" ht="14.6" x14ac:dyDescent="0.4">
      <c r="I94" s="165"/>
    </row>
    <row r="95" spans="9:9" ht="14.6" x14ac:dyDescent="0.4">
      <c r="I95" s="165"/>
    </row>
    <row r="96" spans="9:9" ht="14.6" x14ac:dyDescent="0.4">
      <c r="I96" s="165"/>
    </row>
    <row r="97" spans="9:9" ht="14.6" x14ac:dyDescent="0.4">
      <c r="I97" s="165"/>
    </row>
    <row r="98" spans="9:9" ht="14.6" x14ac:dyDescent="0.4">
      <c r="I98" s="165"/>
    </row>
    <row r="99" spans="9:9" ht="14.6" x14ac:dyDescent="0.4">
      <c r="I99" s="165"/>
    </row>
    <row r="100" spans="9:9" ht="14.6" x14ac:dyDescent="0.4">
      <c r="I100" s="165"/>
    </row>
    <row r="101" spans="9:9" ht="14.6" x14ac:dyDescent="0.4">
      <c r="I101" s="165"/>
    </row>
    <row r="102" spans="9:9" ht="14.6" x14ac:dyDescent="0.4">
      <c r="I102" s="165"/>
    </row>
    <row r="103" spans="9:9" ht="14.6" x14ac:dyDescent="0.4">
      <c r="I103" s="165"/>
    </row>
    <row r="104" spans="9:9" ht="14.6" x14ac:dyDescent="0.4">
      <c r="I104" s="165"/>
    </row>
    <row r="105" spans="9:9" ht="14.6" x14ac:dyDescent="0.4">
      <c r="I105" s="165"/>
    </row>
    <row r="106" spans="9:9" ht="14.6" x14ac:dyDescent="0.4">
      <c r="I106" s="165"/>
    </row>
    <row r="107" spans="9:9" ht="14.6" x14ac:dyDescent="0.4">
      <c r="I107" s="165"/>
    </row>
    <row r="108" spans="9:9" ht="14.6" x14ac:dyDescent="0.4">
      <c r="I108" s="165"/>
    </row>
    <row r="109" spans="9:9" ht="14.6" x14ac:dyDescent="0.4">
      <c r="I109" s="165"/>
    </row>
    <row r="110" spans="9:9" ht="14.6" x14ac:dyDescent="0.4">
      <c r="I110" s="165"/>
    </row>
    <row r="111" spans="9:9" ht="14.6" x14ac:dyDescent="0.4">
      <c r="I111" s="165"/>
    </row>
    <row r="112" spans="9:9" ht="14.6" x14ac:dyDescent="0.4">
      <c r="I112" s="165"/>
    </row>
    <row r="113" spans="9:9" ht="14.6" x14ac:dyDescent="0.4">
      <c r="I113" s="165"/>
    </row>
    <row r="114" spans="9:9" ht="14.6" x14ac:dyDescent="0.4">
      <c r="I114" s="165"/>
    </row>
    <row r="115" spans="9:9" ht="14.6" x14ac:dyDescent="0.4">
      <c r="I115" s="165"/>
    </row>
    <row r="116" spans="9:9" ht="14.6" x14ac:dyDescent="0.4">
      <c r="I116" s="165"/>
    </row>
    <row r="117" spans="9:9" ht="14.6" x14ac:dyDescent="0.4">
      <c r="I117" s="165"/>
    </row>
    <row r="118" spans="9:9" ht="14.6" x14ac:dyDescent="0.4">
      <c r="I118" s="165"/>
    </row>
    <row r="119" spans="9:9" ht="14.6" x14ac:dyDescent="0.4">
      <c r="I119" s="165"/>
    </row>
    <row r="120" spans="9:9" ht="14.6" x14ac:dyDescent="0.4">
      <c r="I120" s="165"/>
    </row>
    <row r="121" spans="9:9" ht="14.6" x14ac:dyDescent="0.4">
      <c r="I121" s="165"/>
    </row>
    <row r="122" spans="9:9" ht="14.6" x14ac:dyDescent="0.4">
      <c r="I122" s="165"/>
    </row>
    <row r="123" spans="9:9" ht="14.6" x14ac:dyDescent="0.4">
      <c r="I123" s="165"/>
    </row>
    <row r="124" spans="9:9" ht="14.6" x14ac:dyDescent="0.4">
      <c r="I124" s="165"/>
    </row>
    <row r="125" spans="9:9" ht="14.6" x14ac:dyDescent="0.4">
      <c r="I125" s="165"/>
    </row>
    <row r="126" spans="9:9" ht="14.6" x14ac:dyDescent="0.4">
      <c r="I126" s="165"/>
    </row>
    <row r="127" spans="9:9" ht="14.6" x14ac:dyDescent="0.4">
      <c r="I127" s="165"/>
    </row>
    <row r="128" spans="9:9" ht="14.6" x14ac:dyDescent="0.4">
      <c r="I128" s="165"/>
    </row>
    <row r="129" spans="9:9" ht="14.6" x14ac:dyDescent="0.4">
      <c r="I129" s="165"/>
    </row>
    <row r="130" spans="9:9" ht="14.6" x14ac:dyDescent="0.4">
      <c r="I130" s="165"/>
    </row>
    <row r="131" spans="9:9" ht="14.6" x14ac:dyDescent="0.4">
      <c r="I131" s="165"/>
    </row>
    <row r="132" spans="9:9" ht="14.6" x14ac:dyDescent="0.4">
      <c r="I132" s="165"/>
    </row>
    <row r="133" spans="9:9" ht="14.6" x14ac:dyDescent="0.4">
      <c r="I133" s="165"/>
    </row>
    <row r="134" spans="9:9" ht="14.6" x14ac:dyDescent="0.4">
      <c r="I134" s="165"/>
    </row>
    <row r="135" spans="9:9" ht="14.6" x14ac:dyDescent="0.4">
      <c r="I135" s="165"/>
    </row>
    <row r="136" spans="9:9" ht="14.6" x14ac:dyDescent="0.4">
      <c r="I136" s="165"/>
    </row>
    <row r="137" spans="9:9" ht="14.6" x14ac:dyDescent="0.4">
      <c r="I137" s="165"/>
    </row>
    <row r="138" spans="9:9" ht="14.6" x14ac:dyDescent="0.4">
      <c r="I138" s="165"/>
    </row>
    <row r="139" spans="9:9" ht="14.6" x14ac:dyDescent="0.4">
      <c r="I139" s="165"/>
    </row>
    <row r="140" spans="9:9" ht="14.6" x14ac:dyDescent="0.4">
      <c r="I140" s="165"/>
    </row>
    <row r="141" spans="9:9" ht="14.6" x14ac:dyDescent="0.4">
      <c r="I141" s="165"/>
    </row>
    <row r="142" spans="9:9" ht="14.6" x14ac:dyDescent="0.4">
      <c r="I142" s="165"/>
    </row>
    <row r="143" spans="9:9" ht="14.6" x14ac:dyDescent="0.4">
      <c r="I143" s="165"/>
    </row>
    <row r="144" spans="9:9" ht="14.6" x14ac:dyDescent="0.4">
      <c r="I144" s="165"/>
    </row>
    <row r="145" spans="9:9" ht="14.6" x14ac:dyDescent="0.4">
      <c r="I145" s="165"/>
    </row>
    <row r="146" spans="9:9" ht="14.6" x14ac:dyDescent="0.4">
      <c r="I146" s="165"/>
    </row>
    <row r="147" spans="9:9" ht="14.6" x14ac:dyDescent="0.4">
      <c r="I147" s="165"/>
    </row>
    <row r="148" spans="9:9" ht="14.6" x14ac:dyDescent="0.4">
      <c r="I148" s="165"/>
    </row>
    <row r="149" spans="9:9" ht="14.6" x14ac:dyDescent="0.4">
      <c r="I149" s="165"/>
    </row>
    <row r="150" spans="9:9" ht="14.6" x14ac:dyDescent="0.4">
      <c r="I150" s="165"/>
    </row>
    <row r="151" spans="9:9" ht="14.6" x14ac:dyDescent="0.4">
      <c r="I151" s="165"/>
    </row>
    <row r="152" spans="9:9" ht="14.6" x14ac:dyDescent="0.4">
      <c r="I152" s="165"/>
    </row>
    <row r="153" spans="9:9" ht="14.6" x14ac:dyDescent="0.4">
      <c r="I153" s="165"/>
    </row>
    <row r="154" spans="9:9" ht="14.6" x14ac:dyDescent="0.4">
      <c r="I154" s="165"/>
    </row>
    <row r="155" spans="9:9" ht="14.6" x14ac:dyDescent="0.4">
      <c r="I155" s="165"/>
    </row>
    <row r="156" spans="9:9" ht="14.6" x14ac:dyDescent="0.4">
      <c r="I156" s="165"/>
    </row>
    <row r="157" spans="9:9" ht="14.6" x14ac:dyDescent="0.4">
      <c r="I157" s="165"/>
    </row>
    <row r="158" spans="9:9" ht="14.6" x14ac:dyDescent="0.4">
      <c r="I158" s="165"/>
    </row>
    <row r="159" spans="9:9" ht="14.6" x14ac:dyDescent="0.4">
      <c r="I159" s="165"/>
    </row>
    <row r="160" spans="9:9" ht="14.6" x14ac:dyDescent="0.4">
      <c r="I160" s="165"/>
    </row>
    <row r="161" spans="9:9" ht="14.6" x14ac:dyDescent="0.4">
      <c r="I161" s="165"/>
    </row>
    <row r="162" spans="9:9" ht="14.6" x14ac:dyDescent="0.4">
      <c r="I162" s="165"/>
    </row>
    <row r="163" spans="9:9" ht="14.6" x14ac:dyDescent="0.4">
      <c r="I163" s="165"/>
    </row>
    <row r="164" spans="9:9" ht="14.6" x14ac:dyDescent="0.4">
      <c r="I164" s="165"/>
    </row>
    <row r="165" spans="9:9" ht="14.6" x14ac:dyDescent="0.4">
      <c r="I165" s="165"/>
    </row>
    <row r="166" spans="9:9" ht="14.6" x14ac:dyDescent="0.4">
      <c r="I166" s="165"/>
    </row>
    <row r="167" spans="9:9" ht="14.6" x14ac:dyDescent="0.4">
      <c r="I167" s="165"/>
    </row>
    <row r="168" spans="9:9" ht="14.6" x14ac:dyDescent="0.4">
      <c r="I168" s="165"/>
    </row>
    <row r="169" spans="9:9" ht="14.6" x14ac:dyDescent="0.4">
      <c r="I169" s="165"/>
    </row>
    <row r="170" spans="9:9" ht="14.6" x14ac:dyDescent="0.4">
      <c r="I170" s="165"/>
    </row>
    <row r="171" spans="9:9" ht="14.6" x14ac:dyDescent="0.4">
      <c r="I171" s="165"/>
    </row>
    <row r="172" spans="9:9" ht="14.6" x14ac:dyDescent="0.4">
      <c r="I172" s="165"/>
    </row>
    <row r="173" spans="9:9" ht="14.6" x14ac:dyDescent="0.4">
      <c r="I173" s="165"/>
    </row>
    <row r="174" spans="9:9" ht="14.6" x14ac:dyDescent="0.4">
      <c r="I174" s="165"/>
    </row>
    <row r="175" spans="9:9" ht="14.6" x14ac:dyDescent="0.4">
      <c r="I175" s="165"/>
    </row>
    <row r="176" spans="9:9" ht="14.6" x14ac:dyDescent="0.4">
      <c r="I176" s="165"/>
    </row>
    <row r="177" spans="9:9" ht="14.6" x14ac:dyDescent="0.4">
      <c r="I177" s="165"/>
    </row>
    <row r="178" spans="9:9" ht="14.6" x14ac:dyDescent="0.4">
      <c r="I178" s="165"/>
    </row>
    <row r="179" spans="9:9" ht="14.6" x14ac:dyDescent="0.4">
      <c r="I179" s="165"/>
    </row>
    <row r="180" spans="9:9" ht="14.6" x14ac:dyDescent="0.4">
      <c r="I180" s="165"/>
    </row>
    <row r="181" spans="9:9" ht="14.6" x14ac:dyDescent="0.4">
      <c r="I181" s="165"/>
    </row>
    <row r="182" spans="9:9" ht="14.6" x14ac:dyDescent="0.4">
      <c r="I182" s="165"/>
    </row>
    <row r="183" spans="9:9" ht="14.6" x14ac:dyDescent="0.4">
      <c r="I183" s="165"/>
    </row>
    <row r="184" spans="9:9" ht="14.6" x14ac:dyDescent="0.4">
      <c r="I184" s="165"/>
    </row>
    <row r="185" spans="9:9" ht="14.6" x14ac:dyDescent="0.4">
      <c r="I185" s="165"/>
    </row>
    <row r="186" spans="9:9" ht="14.6" x14ac:dyDescent="0.4">
      <c r="I186" s="165"/>
    </row>
    <row r="187" spans="9:9" ht="14.6" x14ac:dyDescent="0.4">
      <c r="I187" s="165"/>
    </row>
    <row r="188" spans="9:9" ht="14.6" x14ac:dyDescent="0.4">
      <c r="I188" s="165"/>
    </row>
    <row r="189" spans="9:9" ht="14.6" x14ac:dyDescent="0.4">
      <c r="I189" s="165"/>
    </row>
    <row r="190" spans="9:9" ht="14.6" x14ac:dyDescent="0.4">
      <c r="I190" s="165"/>
    </row>
    <row r="191" spans="9:9" ht="14.6" x14ac:dyDescent="0.4">
      <c r="I191" s="165"/>
    </row>
    <row r="192" spans="9:9" ht="14.6" x14ac:dyDescent="0.4">
      <c r="I192" s="165"/>
    </row>
    <row r="193" spans="9:9" ht="14.6" x14ac:dyDescent="0.4">
      <c r="I193" s="165"/>
    </row>
    <row r="194" spans="9:9" ht="14.6" x14ac:dyDescent="0.4">
      <c r="I194" s="165"/>
    </row>
    <row r="195" spans="9:9" ht="14.6" x14ac:dyDescent="0.4">
      <c r="I195" s="165"/>
    </row>
    <row r="196" spans="9:9" ht="14.6" x14ac:dyDescent="0.4">
      <c r="I196" s="165"/>
    </row>
    <row r="197" spans="9:9" ht="14.6" x14ac:dyDescent="0.4">
      <c r="I197" s="165"/>
    </row>
    <row r="198" spans="9:9" ht="14.6" x14ac:dyDescent="0.4">
      <c r="I198" s="165"/>
    </row>
    <row r="199" spans="9:9" ht="14.6" x14ac:dyDescent="0.4">
      <c r="I199" s="165"/>
    </row>
    <row r="200" spans="9:9" ht="14.6" x14ac:dyDescent="0.4">
      <c r="I200" s="165"/>
    </row>
    <row r="201" spans="9:9" ht="14.6" x14ac:dyDescent="0.4">
      <c r="I201" s="165"/>
    </row>
    <row r="202" spans="9:9" ht="14.6" x14ac:dyDescent="0.4">
      <c r="I202" s="165"/>
    </row>
    <row r="203" spans="9:9" ht="14.6" x14ac:dyDescent="0.4">
      <c r="I203" s="165"/>
    </row>
    <row r="204" spans="9:9" ht="14.6" x14ac:dyDescent="0.4">
      <c r="I204" s="165"/>
    </row>
    <row r="205" spans="9:9" ht="14.6" x14ac:dyDescent="0.4">
      <c r="I205" s="165"/>
    </row>
    <row r="206" spans="9:9" ht="14.6" x14ac:dyDescent="0.4">
      <c r="I206" s="165"/>
    </row>
    <row r="207" spans="9:9" ht="14.6" x14ac:dyDescent="0.4">
      <c r="I207" s="165"/>
    </row>
    <row r="208" spans="9:9" ht="14.6" x14ac:dyDescent="0.4">
      <c r="I208" s="165"/>
    </row>
    <row r="209" spans="9:9" ht="14.6" x14ac:dyDescent="0.4">
      <c r="I209" s="165"/>
    </row>
    <row r="210" spans="9:9" ht="14.6" x14ac:dyDescent="0.4">
      <c r="I210" s="165"/>
    </row>
    <row r="211" spans="9:9" ht="14.6" x14ac:dyDescent="0.4">
      <c r="I211" s="165"/>
    </row>
    <row r="212" spans="9:9" ht="14.6" x14ac:dyDescent="0.4">
      <c r="I212" s="165"/>
    </row>
    <row r="213" spans="9:9" ht="14.6" x14ac:dyDescent="0.4">
      <c r="I213" s="165"/>
    </row>
    <row r="214" spans="9:9" ht="14.6" x14ac:dyDescent="0.4">
      <c r="I214" s="165"/>
    </row>
    <row r="215" spans="9:9" ht="14.6" x14ac:dyDescent="0.4">
      <c r="I215" s="165"/>
    </row>
    <row r="216" spans="9:9" ht="14.6" x14ac:dyDescent="0.4">
      <c r="I216" s="165"/>
    </row>
    <row r="217" spans="9:9" ht="14.6" x14ac:dyDescent="0.4">
      <c r="I217" s="165"/>
    </row>
    <row r="218" spans="9:9" ht="14.6" x14ac:dyDescent="0.4">
      <c r="I218" s="165"/>
    </row>
    <row r="219" spans="9:9" ht="14.6" x14ac:dyDescent="0.4">
      <c r="I219" s="165"/>
    </row>
    <row r="220" spans="9:9" ht="14.6" x14ac:dyDescent="0.4">
      <c r="I220" s="165"/>
    </row>
    <row r="221" spans="9:9" ht="14.6" x14ac:dyDescent="0.4">
      <c r="I221" s="165"/>
    </row>
    <row r="222" spans="9:9" ht="14.6" x14ac:dyDescent="0.4">
      <c r="I222" s="165"/>
    </row>
    <row r="223" spans="9:9" ht="14.6" x14ac:dyDescent="0.4">
      <c r="I223" s="165"/>
    </row>
    <row r="224" spans="9:9" ht="14.6" x14ac:dyDescent="0.4">
      <c r="I224" s="165"/>
    </row>
    <row r="225" spans="9:9" ht="14.6" x14ac:dyDescent="0.4">
      <c r="I225" s="165"/>
    </row>
    <row r="226" spans="9:9" ht="14.6" x14ac:dyDescent="0.4">
      <c r="I226" s="165"/>
    </row>
    <row r="227" spans="9:9" ht="14.6" x14ac:dyDescent="0.4">
      <c r="I227" s="165"/>
    </row>
    <row r="228" spans="9:9" ht="14.6" x14ac:dyDescent="0.4">
      <c r="I228" s="165"/>
    </row>
    <row r="229" spans="9:9" ht="14.6" x14ac:dyDescent="0.4">
      <c r="I229" s="165"/>
    </row>
    <row r="230" spans="9:9" ht="14.6" x14ac:dyDescent="0.4">
      <c r="I230" s="165"/>
    </row>
    <row r="231" spans="9:9" ht="14.6" x14ac:dyDescent="0.4">
      <c r="I231" s="165"/>
    </row>
    <row r="232" spans="9:9" ht="14.6" x14ac:dyDescent="0.4">
      <c r="I232" s="165"/>
    </row>
    <row r="233" spans="9:9" ht="14.6" x14ac:dyDescent="0.4">
      <c r="I233" s="165"/>
    </row>
    <row r="234" spans="9:9" ht="14.6" x14ac:dyDescent="0.4">
      <c r="I234" s="165"/>
    </row>
    <row r="235" spans="9:9" ht="14.6" x14ac:dyDescent="0.4">
      <c r="I235" s="165"/>
    </row>
    <row r="236" spans="9:9" ht="14.6" x14ac:dyDescent="0.4">
      <c r="I236" s="165"/>
    </row>
    <row r="237" spans="9:9" ht="14.6" x14ac:dyDescent="0.4">
      <c r="I237" s="165"/>
    </row>
    <row r="238" spans="9:9" ht="14.6" x14ac:dyDescent="0.4">
      <c r="I238" s="165"/>
    </row>
    <row r="239" spans="9:9" ht="14.6" x14ac:dyDescent="0.4">
      <c r="I239" s="165"/>
    </row>
    <row r="240" spans="9:9" ht="14.6" x14ac:dyDescent="0.4">
      <c r="I240" s="165"/>
    </row>
    <row r="241" spans="9:9" ht="14.6" x14ac:dyDescent="0.4">
      <c r="I241" s="165"/>
    </row>
    <row r="242" spans="9:9" ht="14.6" x14ac:dyDescent="0.4">
      <c r="I242" s="165"/>
    </row>
    <row r="243" spans="9:9" ht="14.6" x14ac:dyDescent="0.4">
      <c r="I243" s="165"/>
    </row>
    <row r="244" spans="9:9" ht="14.6" x14ac:dyDescent="0.4">
      <c r="I244" s="165"/>
    </row>
    <row r="245" spans="9:9" ht="14.6" x14ac:dyDescent="0.4">
      <c r="I245" s="165"/>
    </row>
    <row r="246" spans="9:9" ht="14.6" x14ac:dyDescent="0.4">
      <c r="I246" s="165"/>
    </row>
    <row r="247" spans="9:9" ht="14.6" x14ac:dyDescent="0.4">
      <c r="I247" s="165"/>
    </row>
    <row r="248" spans="9:9" ht="14.6" x14ac:dyDescent="0.4">
      <c r="I248" s="165"/>
    </row>
    <row r="249" spans="9:9" ht="14.6" x14ac:dyDescent="0.4">
      <c r="I249" s="165"/>
    </row>
    <row r="250" spans="9:9" ht="14.6" x14ac:dyDescent="0.4">
      <c r="I250" s="165"/>
    </row>
    <row r="251" spans="9:9" ht="14.6" x14ac:dyDescent="0.4">
      <c r="I251" s="165"/>
    </row>
    <row r="252" spans="9:9" ht="14.6" x14ac:dyDescent="0.4">
      <c r="I252" s="165"/>
    </row>
    <row r="253" spans="9:9" ht="14.6" x14ac:dyDescent="0.4">
      <c r="I253" s="165"/>
    </row>
    <row r="254" spans="9:9" ht="14.6" x14ac:dyDescent="0.4">
      <c r="I254" s="165"/>
    </row>
    <row r="255" spans="9:9" ht="14.6" x14ac:dyDescent="0.4">
      <c r="I255" s="165"/>
    </row>
    <row r="256" spans="9:9" ht="14.6" x14ac:dyDescent="0.4">
      <c r="I256" s="165"/>
    </row>
    <row r="257" spans="9:9" ht="14.6" x14ac:dyDescent="0.4">
      <c r="I257" s="165"/>
    </row>
    <row r="258" spans="9:9" ht="14.6" x14ac:dyDescent="0.4">
      <c r="I258" s="165"/>
    </row>
    <row r="259" spans="9:9" ht="14.6" x14ac:dyDescent="0.4">
      <c r="I259" s="165"/>
    </row>
    <row r="260" spans="9:9" ht="14.6" x14ac:dyDescent="0.4">
      <c r="I260" s="165"/>
    </row>
    <row r="261" spans="9:9" ht="14.6" x14ac:dyDescent="0.4">
      <c r="I261" s="165"/>
    </row>
    <row r="262" spans="9:9" ht="14.6" x14ac:dyDescent="0.4">
      <c r="I262" s="165"/>
    </row>
    <row r="263" spans="9:9" ht="14.6" x14ac:dyDescent="0.4">
      <c r="I263" s="165"/>
    </row>
    <row r="264" spans="9:9" ht="14.6" x14ac:dyDescent="0.4">
      <c r="I264" s="165"/>
    </row>
    <row r="265" spans="9:9" ht="14.6" x14ac:dyDescent="0.4">
      <c r="I265" s="165"/>
    </row>
    <row r="266" spans="9:9" ht="14.6" x14ac:dyDescent="0.4">
      <c r="I266" s="165"/>
    </row>
    <row r="267" spans="9:9" ht="14.6" x14ac:dyDescent="0.4">
      <c r="I267" s="165"/>
    </row>
    <row r="268" spans="9:9" ht="14.6" x14ac:dyDescent="0.4">
      <c r="I268" s="165"/>
    </row>
    <row r="269" spans="9:9" ht="14.6" x14ac:dyDescent="0.4">
      <c r="I269" s="165"/>
    </row>
    <row r="270" spans="9:9" ht="14.6" x14ac:dyDescent="0.4">
      <c r="I270" s="165"/>
    </row>
    <row r="271" spans="9:9" ht="14.6" x14ac:dyDescent="0.4">
      <c r="I271" s="165"/>
    </row>
    <row r="272" spans="9:9" ht="14.6" x14ac:dyDescent="0.4">
      <c r="I272" s="165"/>
    </row>
    <row r="273" spans="9:9" ht="14.6" x14ac:dyDescent="0.4">
      <c r="I273" s="165"/>
    </row>
    <row r="274" spans="9:9" ht="14.6" x14ac:dyDescent="0.4">
      <c r="I274" s="165"/>
    </row>
    <row r="275" spans="9:9" ht="14.6" x14ac:dyDescent="0.4">
      <c r="I275" s="165"/>
    </row>
    <row r="276" spans="9:9" ht="14.6" x14ac:dyDescent="0.4">
      <c r="I276" s="165"/>
    </row>
    <row r="277" spans="9:9" ht="14.6" x14ac:dyDescent="0.4">
      <c r="I277" s="165"/>
    </row>
    <row r="278" spans="9:9" ht="14.6" x14ac:dyDescent="0.4">
      <c r="I278" s="165"/>
    </row>
    <row r="279" spans="9:9" ht="14.6" x14ac:dyDescent="0.4">
      <c r="I279" s="165"/>
    </row>
    <row r="280" spans="9:9" ht="14.6" x14ac:dyDescent="0.4">
      <c r="I280" s="165"/>
    </row>
    <row r="281" spans="9:9" ht="14.6" x14ac:dyDescent="0.4">
      <c r="I281" s="165"/>
    </row>
    <row r="282" spans="9:9" ht="14.6" x14ac:dyDescent="0.4">
      <c r="I282" s="165"/>
    </row>
    <row r="283" spans="9:9" ht="14.6" x14ac:dyDescent="0.4">
      <c r="I283" s="165"/>
    </row>
    <row r="284" spans="9:9" ht="14.6" x14ac:dyDescent="0.4">
      <c r="I284" s="165"/>
    </row>
    <row r="285" spans="9:9" ht="14.6" x14ac:dyDescent="0.4">
      <c r="I285" s="165"/>
    </row>
    <row r="286" spans="9:9" ht="14.6" x14ac:dyDescent="0.4">
      <c r="I286" s="165"/>
    </row>
    <row r="287" spans="9:9" ht="14.6" x14ac:dyDescent="0.4">
      <c r="I287" s="165"/>
    </row>
    <row r="288" spans="9:9" ht="14.6" x14ac:dyDescent="0.4">
      <c r="I288" s="165"/>
    </row>
    <row r="289" spans="9:9" ht="14.6" x14ac:dyDescent="0.4">
      <c r="I289" s="165"/>
    </row>
    <row r="290" spans="9:9" ht="14.6" x14ac:dyDescent="0.4">
      <c r="I290" s="165"/>
    </row>
    <row r="291" spans="9:9" ht="14.6" x14ac:dyDescent="0.4">
      <c r="I291" s="165"/>
    </row>
    <row r="292" spans="9:9" ht="14.6" x14ac:dyDescent="0.4">
      <c r="I292" s="165"/>
    </row>
    <row r="293" spans="9:9" ht="14.6" x14ac:dyDescent="0.4">
      <c r="I293" s="165"/>
    </row>
    <row r="294" spans="9:9" ht="14.6" x14ac:dyDescent="0.4">
      <c r="I294" s="165"/>
    </row>
    <row r="295" spans="9:9" ht="14.6" x14ac:dyDescent="0.4">
      <c r="I295" s="165"/>
    </row>
    <row r="296" spans="9:9" ht="14.6" x14ac:dyDescent="0.4">
      <c r="I296" s="165"/>
    </row>
    <row r="297" spans="9:9" ht="14.6" x14ac:dyDescent="0.4">
      <c r="I297" s="165"/>
    </row>
    <row r="298" spans="9:9" ht="14.6" x14ac:dyDescent="0.4">
      <c r="I298" s="165"/>
    </row>
    <row r="299" spans="9:9" ht="14.6" x14ac:dyDescent="0.4">
      <c r="I299" s="165"/>
    </row>
    <row r="300" spans="9:9" ht="14.6" x14ac:dyDescent="0.4">
      <c r="I300" s="165"/>
    </row>
    <row r="301" spans="9:9" ht="14.6" x14ac:dyDescent="0.4">
      <c r="I301" s="165"/>
    </row>
    <row r="302" spans="9:9" ht="14.6" x14ac:dyDescent="0.4">
      <c r="I302" s="165"/>
    </row>
    <row r="303" spans="9:9" ht="14.6" x14ac:dyDescent="0.4">
      <c r="I303" s="165"/>
    </row>
    <row r="304" spans="9:9" ht="14.6" x14ac:dyDescent="0.4">
      <c r="I304" s="165"/>
    </row>
    <row r="305" spans="9:9" ht="14.6" x14ac:dyDescent="0.4">
      <c r="I305" s="165"/>
    </row>
    <row r="306" spans="9:9" ht="14.6" x14ac:dyDescent="0.4">
      <c r="I306" s="165"/>
    </row>
    <row r="307" spans="9:9" ht="14.6" x14ac:dyDescent="0.4">
      <c r="I307" s="165"/>
    </row>
    <row r="308" spans="9:9" ht="14.6" x14ac:dyDescent="0.4">
      <c r="I308" s="165"/>
    </row>
    <row r="309" spans="9:9" ht="14.6" x14ac:dyDescent="0.4">
      <c r="I309" s="165"/>
    </row>
    <row r="310" spans="9:9" ht="14.6" x14ac:dyDescent="0.4">
      <c r="I310" s="165"/>
    </row>
    <row r="311" spans="9:9" ht="14.6" x14ac:dyDescent="0.4">
      <c r="I311" s="165"/>
    </row>
    <row r="312" spans="9:9" ht="14.6" x14ac:dyDescent="0.4">
      <c r="I312" s="165"/>
    </row>
    <row r="313" spans="9:9" ht="14.6" x14ac:dyDescent="0.4">
      <c r="I313" s="165"/>
    </row>
    <row r="314" spans="9:9" ht="14.6" x14ac:dyDescent="0.4">
      <c r="I314" s="165"/>
    </row>
    <row r="315" spans="9:9" ht="14.6" x14ac:dyDescent="0.4">
      <c r="I315" s="165"/>
    </row>
    <row r="316" spans="9:9" ht="14.6" x14ac:dyDescent="0.4">
      <c r="I316" s="165"/>
    </row>
    <row r="317" spans="9:9" ht="14.6" x14ac:dyDescent="0.4">
      <c r="I317" s="165"/>
    </row>
    <row r="318" spans="9:9" ht="14.6" x14ac:dyDescent="0.4">
      <c r="I318" s="165"/>
    </row>
    <row r="319" spans="9:9" ht="14.6" x14ac:dyDescent="0.4">
      <c r="I319" s="165"/>
    </row>
    <row r="320" spans="9:9" ht="14.6" x14ac:dyDescent="0.4">
      <c r="I320" s="165"/>
    </row>
    <row r="321" spans="9:9" ht="14.6" x14ac:dyDescent="0.4">
      <c r="I321" s="165"/>
    </row>
    <row r="322" spans="9:9" ht="14.6" x14ac:dyDescent="0.4">
      <c r="I322" s="165"/>
    </row>
    <row r="323" spans="9:9" ht="14.6" x14ac:dyDescent="0.4">
      <c r="I323" s="165"/>
    </row>
    <row r="324" spans="9:9" ht="14.6" x14ac:dyDescent="0.4">
      <c r="I324" s="165"/>
    </row>
    <row r="325" spans="9:9" ht="14.6" x14ac:dyDescent="0.4">
      <c r="I325" s="165"/>
    </row>
    <row r="326" spans="9:9" ht="14.6" x14ac:dyDescent="0.4">
      <c r="I326" s="165"/>
    </row>
    <row r="327" spans="9:9" ht="14.6" x14ac:dyDescent="0.4">
      <c r="I327" s="165"/>
    </row>
    <row r="328" spans="9:9" ht="14.6" x14ac:dyDescent="0.4">
      <c r="I328" s="165"/>
    </row>
    <row r="329" spans="9:9" ht="14.6" x14ac:dyDescent="0.4">
      <c r="I329" s="165"/>
    </row>
    <row r="330" spans="9:9" ht="14.6" x14ac:dyDescent="0.4">
      <c r="I330" s="165"/>
    </row>
    <row r="331" spans="9:9" ht="14.6" x14ac:dyDescent="0.4">
      <c r="I331" s="165"/>
    </row>
    <row r="332" spans="9:9" ht="14.6" x14ac:dyDescent="0.4">
      <c r="I332" s="165"/>
    </row>
    <row r="333" spans="9:9" ht="14.6" x14ac:dyDescent="0.4">
      <c r="I333" s="165"/>
    </row>
    <row r="334" spans="9:9" ht="14.6" x14ac:dyDescent="0.4">
      <c r="I334" s="165"/>
    </row>
    <row r="335" spans="9:9" ht="14.6" x14ac:dyDescent="0.4">
      <c r="I335" s="165"/>
    </row>
    <row r="336" spans="9:9" ht="14.6" x14ac:dyDescent="0.4">
      <c r="I336" s="165"/>
    </row>
    <row r="337" spans="9:9" ht="14.6" x14ac:dyDescent="0.4">
      <c r="I337" s="165"/>
    </row>
    <row r="338" spans="9:9" ht="14.6" x14ac:dyDescent="0.4">
      <c r="I338" s="165"/>
    </row>
    <row r="339" spans="9:9" ht="14.6" x14ac:dyDescent="0.4">
      <c r="I339" s="165"/>
    </row>
    <row r="340" spans="9:9" ht="14.6" x14ac:dyDescent="0.4">
      <c r="I340" s="165"/>
    </row>
    <row r="341" spans="9:9" ht="14.6" x14ac:dyDescent="0.4">
      <c r="I341" s="165"/>
    </row>
    <row r="342" spans="9:9" ht="14.6" x14ac:dyDescent="0.4">
      <c r="I342" s="165"/>
    </row>
    <row r="343" spans="9:9" ht="14.6" x14ac:dyDescent="0.4">
      <c r="I343" s="165"/>
    </row>
    <row r="344" spans="9:9" ht="14.6" x14ac:dyDescent="0.4">
      <c r="I344" s="165"/>
    </row>
    <row r="345" spans="9:9" ht="14.6" x14ac:dyDescent="0.4">
      <c r="I345" s="165"/>
    </row>
    <row r="346" spans="9:9" ht="14.6" x14ac:dyDescent="0.4">
      <c r="I346" s="165"/>
    </row>
    <row r="347" spans="9:9" ht="14.6" x14ac:dyDescent="0.4">
      <c r="I347" s="165"/>
    </row>
    <row r="348" spans="9:9" ht="14.6" x14ac:dyDescent="0.4">
      <c r="I348" s="165"/>
    </row>
    <row r="349" spans="9:9" ht="14.6" x14ac:dyDescent="0.4">
      <c r="I349" s="165"/>
    </row>
    <row r="350" spans="9:9" ht="14.6" x14ac:dyDescent="0.4">
      <c r="I350" s="165"/>
    </row>
    <row r="351" spans="9:9" ht="14.6" x14ac:dyDescent="0.4">
      <c r="I351" s="165"/>
    </row>
    <row r="352" spans="9:9" ht="14.6" x14ac:dyDescent="0.4">
      <c r="I352" s="165"/>
    </row>
    <row r="353" spans="9:9" ht="14.6" x14ac:dyDescent="0.4">
      <c r="I353" s="165"/>
    </row>
    <row r="354" spans="9:9" ht="14.6" x14ac:dyDescent="0.4">
      <c r="I354" s="165"/>
    </row>
    <row r="355" spans="9:9" ht="14.6" x14ac:dyDescent="0.4">
      <c r="I355" s="165"/>
    </row>
    <row r="356" spans="9:9" ht="14.6" x14ac:dyDescent="0.4">
      <c r="I356" s="165"/>
    </row>
    <row r="357" spans="9:9" ht="14.6" x14ac:dyDescent="0.4">
      <c r="I357" s="165"/>
    </row>
    <row r="358" spans="9:9" ht="14.6" x14ac:dyDescent="0.4">
      <c r="I358" s="165"/>
    </row>
    <row r="359" spans="9:9" ht="14.6" x14ac:dyDescent="0.4">
      <c r="I359" s="165"/>
    </row>
    <row r="360" spans="9:9" ht="14.6" x14ac:dyDescent="0.4">
      <c r="I360" s="165"/>
    </row>
    <row r="361" spans="9:9" ht="14.6" x14ac:dyDescent="0.4">
      <c r="I361" s="165"/>
    </row>
    <row r="362" spans="9:9" ht="14.6" x14ac:dyDescent="0.4">
      <c r="I362" s="165"/>
    </row>
    <row r="363" spans="9:9" ht="14.6" x14ac:dyDescent="0.4">
      <c r="I363" s="165"/>
    </row>
    <row r="364" spans="9:9" ht="14.6" x14ac:dyDescent="0.4">
      <c r="I364" s="165"/>
    </row>
    <row r="365" spans="9:9" ht="14.6" x14ac:dyDescent="0.4">
      <c r="I365" s="165"/>
    </row>
    <row r="366" spans="9:9" ht="14.6" x14ac:dyDescent="0.4">
      <c r="I366" s="165"/>
    </row>
    <row r="367" spans="9:9" ht="14.6" x14ac:dyDescent="0.4">
      <c r="I367" s="165"/>
    </row>
    <row r="368" spans="9:9" ht="14.6" x14ac:dyDescent="0.4">
      <c r="I368" s="165"/>
    </row>
    <row r="369" spans="9:9" ht="14.6" x14ac:dyDescent="0.4">
      <c r="I369" s="165"/>
    </row>
    <row r="370" spans="9:9" ht="14.6" x14ac:dyDescent="0.4">
      <c r="I370" s="165"/>
    </row>
    <row r="371" spans="9:9" ht="14.6" x14ac:dyDescent="0.4">
      <c r="I371" s="165"/>
    </row>
    <row r="372" spans="9:9" ht="14.6" x14ac:dyDescent="0.4">
      <c r="I372" s="165"/>
    </row>
    <row r="373" spans="9:9" ht="14.6" x14ac:dyDescent="0.4">
      <c r="I373" s="165"/>
    </row>
    <row r="374" spans="9:9" ht="14.6" x14ac:dyDescent="0.4">
      <c r="I374" s="165"/>
    </row>
    <row r="375" spans="9:9" ht="14.6" x14ac:dyDescent="0.4">
      <c r="I375" s="165"/>
    </row>
    <row r="376" spans="9:9" ht="14.6" x14ac:dyDescent="0.4">
      <c r="I376" s="165"/>
    </row>
    <row r="377" spans="9:9" ht="14.6" x14ac:dyDescent="0.4">
      <c r="I377" s="165"/>
    </row>
    <row r="378" spans="9:9" ht="14.6" x14ac:dyDescent="0.4">
      <c r="I378" s="165"/>
    </row>
    <row r="379" spans="9:9" ht="14.6" x14ac:dyDescent="0.4">
      <c r="I379" s="165"/>
    </row>
    <row r="380" spans="9:9" ht="14.6" x14ac:dyDescent="0.4">
      <c r="I380" s="165"/>
    </row>
    <row r="381" spans="9:9" ht="14.6" x14ac:dyDescent="0.4">
      <c r="I381" s="165"/>
    </row>
    <row r="382" spans="9:9" ht="14.6" x14ac:dyDescent="0.4">
      <c r="I382" s="165"/>
    </row>
    <row r="383" spans="9:9" ht="14.6" x14ac:dyDescent="0.4">
      <c r="I383" s="165"/>
    </row>
    <row r="384" spans="9:9" ht="14.6" x14ac:dyDescent="0.4">
      <c r="I384" s="165"/>
    </row>
    <row r="385" spans="9:9" ht="14.6" x14ac:dyDescent="0.4">
      <c r="I385" s="165"/>
    </row>
    <row r="386" spans="9:9" ht="14.6" x14ac:dyDescent="0.4">
      <c r="I386" s="165"/>
    </row>
    <row r="387" spans="9:9" ht="14.6" x14ac:dyDescent="0.4">
      <c r="I387" s="165"/>
    </row>
    <row r="388" spans="9:9" ht="14.6" x14ac:dyDescent="0.4">
      <c r="I388" s="165"/>
    </row>
    <row r="389" spans="9:9" ht="14.6" x14ac:dyDescent="0.4">
      <c r="I389" s="165"/>
    </row>
    <row r="390" spans="9:9" ht="14.6" x14ac:dyDescent="0.4">
      <c r="I390" s="165"/>
    </row>
    <row r="391" spans="9:9" ht="14.6" x14ac:dyDescent="0.4">
      <c r="I391" s="165"/>
    </row>
    <row r="392" spans="9:9" ht="14.6" x14ac:dyDescent="0.4">
      <c r="I392" s="165"/>
    </row>
    <row r="393" spans="9:9" ht="14.6" x14ac:dyDescent="0.4">
      <c r="I393" s="165"/>
    </row>
    <row r="394" spans="9:9" ht="14.6" x14ac:dyDescent="0.4">
      <c r="I394" s="165"/>
    </row>
    <row r="395" spans="9:9" ht="14.6" x14ac:dyDescent="0.4">
      <c r="I395" s="165"/>
    </row>
    <row r="396" spans="9:9" ht="14.6" x14ac:dyDescent="0.4">
      <c r="I396" s="165"/>
    </row>
    <row r="397" spans="9:9" ht="14.6" x14ac:dyDescent="0.4">
      <c r="I397" s="165"/>
    </row>
    <row r="398" spans="9:9" ht="14.6" x14ac:dyDescent="0.4">
      <c r="I398" s="165"/>
    </row>
    <row r="399" spans="9:9" ht="14.6" x14ac:dyDescent="0.4">
      <c r="I399" s="165"/>
    </row>
    <row r="400" spans="9:9" ht="14.6" x14ac:dyDescent="0.4">
      <c r="I400" s="165"/>
    </row>
    <row r="401" spans="9:9" ht="14.6" x14ac:dyDescent="0.4">
      <c r="I401" s="165"/>
    </row>
    <row r="402" spans="9:9" ht="14.6" x14ac:dyDescent="0.4">
      <c r="I402" s="165"/>
    </row>
    <row r="403" spans="9:9" ht="14.6" x14ac:dyDescent="0.4">
      <c r="I403" s="165"/>
    </row>
    <row r="404" spans="9:9" ht="14.6" x14ac:dyDescent="0.4">
      <c r="I404" s="165"/>
    </row>
    <row r="405" spans="9:9" ht="14.6" x14ac:dyDescent="0.4">
      <c r="I405" s="165"/>
    </row>
    <row r="406" spans="9:9" ht="14.6" x14ac:dyDescent="0.4">
      <c r="I406" s="165"/>
    </row>
    <row r="407" spans="9:9" ht="14.6" x14ac:dyDescent="0.4">
      <c r="I407" s="165"/>
    </row>
    <row r="408" spans="9:9" ht="14.6" x14ac:dyDescent="0.4">
      <c r="I408" s="165"/>
    </row>
    <row r="409" spans="9:9" ht="14.6" x14ac:dyDescent="0.4">
      <c r="I409" s="165"/>
    </row>
    <row r="410" spans="9:9" ht="14.6" x14ac:dyDescent="0.4">
      <c r="I410" s="165"/>
    </row>
    <row r="411" spans="9:9" ht="14.6" x14ac:dyDescent="0.4">
      <c r="I411" s="165"/>
    </row>
    <row r="412" spans="9:9" ht="14.6" x14ac:dyDescent="0.4">
      <c r="I412" s="165"/>
    </row>
    <row r="413" spans="9:9" ht="14.6" x14ac:dyDescent="0.4">
      <c r="I413" s="165"/>
    </row>
    <row r="414" spans="9:9" ht="14.6" x14ac:dyDescent="0.4">
      <c r="I414" s="165"/>
    </row>
    <row r="415" spans="9:9" ht="14.6" x14ac:dyDescent="0.4">
      <c r="I415" s="165"/>
    </row>
    <row r="416" spans="9:9" ht="14.6" x14ac:dyDescent="0.4">
      <c r="I416" s="165"/>
    </row>
    <row r="417" spans="9:9" ht="14.6" x14ac:dyDescent="0.4">
      <c r="I417" s="165"/>
    </row>
    <row r="418" spans="9:9" ht="14.6" x14ac:dyDescent="0.4">
      <c r="I418" s="165"/>
    </row>
    <row r="419" spans="9:9" ht="14.6" x14ac:dyDescent="0.4">
      <c r="I419" s="165"/>
    </row>
    <row r="420" spans="9:9" ht="14.6" x14ac:dyDescent="0.4">
      <c r="I420" s="165"/>
    </row>
    <row r="421" spans="9:9" ht="14.6" x14ac:dyDescent="0.4">
      <c r="I421" s="165"/>
    </row>
    <row r="422" spans="9:9" ht="14.6" x14ac:dyDescent="0.4">
      <c r="I422" s="165"/>
    </row>
    <row r="423" spans="9:9" ht="14.6" x14ac:dyDescent="0.4">
      <c r="I423" s="165"/>
    </row>
    <row r="424" spans="9:9" ht="14.6" x14ac:dyDescent="0.4">
      <c r="I424" s="165"/>
    </row>
    <row r="425" spans="9:9" ht="14.6" x14ac:dyDescent="0.4">
      <c r="I425" s="165"/>
    </row>
    <row r="426" spans="9:9" ht="14.6" x14ac:dyDescent="0.4">
      <c r="I426" s="165"/>
    </row>
    <row r="427" spans="9:9" ht="14.6" x14ac:dyDescent="0.4">
      <c r="I427" s="165"/>
    </row>
    <row r="428" spans="9:9" ht="14.6" x14ac:dyDescent="0.4">
      <c r="I428" s="165"/>
    </row>
    <row r="429" spans="9:9" ht="14.6" x14ac:dyDescent="0.4">
      <c r="I429" s="165"/>
    </row>
    <row r="430" spans="9:9" ht="14.6" x14ac:dyDescent="0.4">
      <c r="I430" s="165"/>
    </row>
    <row r="431" spans="9:9" ht="14.6" x14ac:dyDescent="0.4">
      <c r="I431" s="165"/>
    </row>
    <row r="432" spans="9:9" ht="14.6" x14ac:dyDescent="0.4">
      <c r="I432" s="165"/>
    </row>
    <row r="433" spans="9:9" ht="14.6" x14ac:dyDescent="0.4">
      <c r="I433" s="165"/>
    </row>
    <row r="434" spans="9:9" ht="14.6" x14ac:dyDescent="0.4">
      <c r="I434" s="165"/>
    </row>
    <row r="435" spans="9:9" ht="14.6" x14ac:dyDescent="0.4">
      <c r="I435" s="165"/>
    </row>
    <row r="436" spans="9:9" ht="14.6" x14ac:dyDescent="0.4">
      <c r="I436" s="165"/>
    </row>
    <row r="437" spans="9:9" ht="14.6" x14ac:dyDescent="0.4">
      <c r="I437" s="165"/>
    </row>
    <row r="438" spans="9:9" ht="14.6" x14ac:dyDescent="0.4">
      <c r="I438" s="165"/>
    </row>
    <row r="439" spans="9:9" ht="14.6" x14ac:dyDescent="0.4">
      <c r="I439" s="165"/>
    </row>
    <row r="440" spans="9:9" ht="14.6" x14ac:dyDescent="0.4">
      <c r="I440" s="165"/>
    </row>
    <row r="441" spans="9:9" ht="14.6" x14ac:dyDescent="0.4">
      <c r="I441" s="165"/>
    </row>
    <row r="442" spans="9:9" ht="14.6" x14ac:dyDescent="0.4">
      <c r="I442" s="165"/>
    </row>
    <row r="443" spans="9:9" ht="14.6" x14ac:dyDescent="0.4">
      <c r="I443" s="165"/>
    </row>
    <row r="444" spans="9:9" ht="14.6" x14ac:dyDescent="0.4">
      <c r="I444" s="165"/>
    </row>
    <row r="445" spans="9:9" ht="14.6" x14ac:dyDescent="0.4">
      <c r="I445" s="165"/>
    </row>
    <row r="446" spans="9:9" ht="14.6" x14ac:dyDescent="0.4">
      <c r="I446" s="165"/>
    </row>
    <row r="447" spans="9:9" ht="14.6" x14ac:dyDescent="0.4">
      <c r="I447" s="165"/>
    </row>
    <row r="448" spans="9:9" ht="14.6" x14ac:dyDescent="0.4">
      <c r="I448" s="165"/>
    </row>
    <row r="449" spans="9:9" ht="14.6" x14ac:dyDescent="0.4">
      <c r="I449" s="165"/>
    </row>
    <row r="450" spans="9:9" ht="14.6" x14ac:dyDescent="0.4">
      <c r="I450" s="165"/>
    </row>
    <row r="451" spans="9:9" ht="14.6" x14ac:dyDescent="0.4">
      <c r="I451" s="165"/>
    </row>
    <row r="452" spans="9:9" ht="14.6" x14ac:dyDescent="0.4">
      <c r="I452" s="165"/>
    </row>
    <row r="453" spans="9:9" ht="14.6" x14ac:dyDescent="0.4">
      <c r="I453" s="165"/>
    </row>
    <row r="454" spans="9:9" ht="14.6" x14ac:dyDescent="0.4">
      <c r="I454" s="165"/>
    </row>
    <row r="455" spans="9:9" ht="14.6" x14ac:dyDescent="0.4">
      <c r="I455" s="165"/>
    </row>
    <row r="456" spans="9:9" ht="14.6" x14ac:dyDescent="0.4">
      <c r="I456" s="165"/>
    </row>
    <row r="457" spans="9:9" ht="14.6" x14ac:dyDescent="0.4">
      <c r="I457" s="165"/>
    </row>
    <row r="458" spans="9:9" ht="14.6" x14ac:dyDescent="0.4">
      <c r="I458" s="165"/>
    </row>
    <row r="459" spans="9:9" ht="14.6" x14ac:dyDescent="0.4">
      <c r="I459" s="165"/>
    </row>
    <row r="460" spans="9:9" ht="14.6" x14ac:dyDescent="0.4">
      <c r="I460" s="165"/>
    </row>
    <row r="461" spans="9:9" ht="14.6" x14ac:dyDescent="0.4">
      <c r="I461" s="165"/>
    </row>
    <row r="462" spans="9:9" ht="14.6" x14ac:dyDescent="0.4">
      <c r="I462" s="165"/>
    </row>
    <row r="463" spans="9:9" ht="14.6" x14ac:dyDescent="0.4">
      <c r="I463" s="165"/>
    </row>
    <row r="464" spans="9:9" ht="14.6" x14ac:dyDescent="0.4">
      <c r="I464" s="165"/>
    </row>
    <row r="465" spans="9:9" ht="14.6" x14ac:dyDescent="0.4">
      <c r="I465" s="165"/>
    </row>
    <row r="466" spans="9:9" ht="14.6" x14ac:dyDescent="0.4">
      <c r="I466" s="165"/>
    </row>
    <row r="467" spans="9:9" ht="14.6" x14ac:dyDescent="0.4">
      <c r="I467" s="165"/>
    </row>
    <row r="468" spans="9:9" ht="14.6" x14ac:dyDescent="0.4">
      <c r="I468" s="165"/>
    </row>
    <row r="469" spans="9:9" ht="14.6" x14ac:dyDescent="0.4">
      <c r="I469" s="165"/>
    </row>
    <row r="470" spans="9:9" ht="14.6" x14ac:dyDescent="0.4">
      <c r="I470" s="165"/>
    </row>
    <row r="471" spans="9:9" ht="14.6" x14ac:dyDescent="0.4">
      <c r="I471" s="165"/>
    </row>
    <row r="472" spans="9:9" ht="14.6" x14ac:dyDescent="0.4">
      <c r="I472" s="165"/>
    </row>
    <row r="473" spans="9:9" ht="14.6" x14ac:dyDescent="0.4">
      <c r="I473" s="165"/>
    </row>
    <row r="474" spans="9:9" ht="14.6" x14ac:dyDescent="0.4">
      <c r="I474" s="165"/>
    </row>
    <row r="475" spans="9:9" ht="14.6" x14ac:dyDescent="0.4">
      <c r="I475" s="165"/>
    </row>
    <row r="476" spans="9:9" ht="14.6" x14ac:dyDescent="0.4">
      <c r="I476" s="165"/>
    </row>
    <row r="477" spans="9:9" ht="14.6" x14ac:dyDescent="0.4">
      <c r="I477" s="165"/>
    </row>
    <row r="478" spans="9:9" ht="14.6" x14ac:dyDescent="0.4">
      <c r="I478" s="165"/>
    </row>
    <row r="479" spans="9:9" ht="14.6" x14ac:dyDescent="0.4">
      <c r="I479" s="165"/>
    </row>
    <row r="480" spans="9:9" ht="14.6" x14ac:dyDescent="0.4">
      <c r="I480" s="165"/>
    </row>
    <row r="481" spans="9:9" ht="14.6" x14ac:dyDescent="0.4">
      <c r="I481" s="165"/>
    </row>
    <row r="482" spans="9:9" ht="14.6" x14ac:dyDescent="0.4">
      <c r="I482" s="165"/>
    </row>
    <row r="483" spans="9:9" ht="14.6" x14ac:dyDescent="0.4">
      <c r="I483" s="165"/>
    </row>
    <row r="484" spans="9:9" ht="14.6" x14ac:dyDescent="0.4">
      <c r="I484" s="165"/>
    </row>
    <row r="485" spans="9:9" ht="14.6" x14ac:dyDescent="0.4">
      <c r="I485" s="165"/>
    </row>
    <row r="486" spans="9:9" ht="14.6" x14ac:dyDescent="0.4">
      <c r="I486" s="165"/>
    </row>
    <row r="487" spans="9:9" ht="14.6" x14ac:dyDescent="0.4">
      <c r="I487" s="165"/>
    </row>
    <row r="488" spans="9:9" ht="14.6" x14ac:dyDescent="0.4">
      <c r="I488" s="165"/>
    </row>
    <row r="489" spans="9:9" ht="14.6" x14ac:dyDescent="0.4">
      <c r="I489" s="165"/>
    </row>
    <row r="490" spans="9:9" ht="14.6" x14ac:dyDescent="0.4">
      <c r="I490" s="165"/>
    </row>
    <row r="491" spans="9:9" ht="14.6" x14ac:dyDescent="0.4">
      <c r="I491" s="165"/>
    </row>
    <row r="492" spans="9:9" ht="14.6" x14ac:dyDescent="0.4">
      <c r="I492" s="165"/>
    </row>
    <row r="493" spans="9:9" ht="14.6" x14ac:dyDescent="0.4">
      <c r="I493" s="165"/>
    </row>
    <row r="494" spans="9:9" ht="14.6" x14ac:dyDescent="0.4">
      <c r="I494" s="165"/>
    </row>
    <row r="495" spans="9:9" ht="14.6" x14ac:dyDescent="0.4">
      <c r="I495" s="165"/>
    </row>
    <row r="496" spans="9:9" ht="14.6" x14ac:dyDescent="0.4">
      <c r="I496" s="165"/>
    </row>
    <row r="497" spans="9:9" ht="14.6" x14ac:dyDescent="0.4">
      <c r="I497" s="165"/>
    </row>
    <row r="498" spans="9:9" ht="14.6" x14ac:dyDescent="0.4">
      <c r="I498" s="165"/>
    </row>
    <row r="499" spans="9:9" ht="14.6" x14ac:dyDescent="0.4">
      <c r="I499" s="165"/>
    </row>
    <row r="500" spans="9:9" ht="14.6" x14ac:dyDescent="0.4">
      <c r="I500" s="165"/>
    </row>
    <row r="501" spans="9:9" ht="14.6" x14ac:dyDescent="0.4">
      <c r="I501" s="165"/>
    </row>
    <row r="502" spans="9:9" ht="14.6" x14ac:dyDescent="0.4">
      <c r="I502" s="165"/>
    </row>
    <row r="503" spans="9:9" ht="14.6" x14ac:dyDescent="0.4">
      <c r="I503" s="165"/>
    </row>
    <row r="504" spans="9:9" ht="14.6" x14ac:dyDescent="0.4">
      <c r="I504" s="165"/>
    </row>
    <row r="505" spans="9:9" ht="14.6" x14ac:dyDescent="0.4">
      <c r="I505" s="165"/>
    </row>
    <row r="506" spans="9:9" ht="14.6" x14ac:dyDescent="0.4">
      <c r="I506" s="165"/>
    </row>
    <row r="507" spans="9:9" ht="14.6" x14ac:dyDescent="0.4">
      <c r="I507" s="165"/>
    </row>
    <row r="508" spans="9:9" ht="14.6" x14ac:dyDescent="0.4">
      <c r="I508" s="165"/>
    </row>
    <row r="509" spans="9:9" ht="14.6" x14ac:dyDescent="0.4">
      <c r="I509" s="165"/>
    </row>
    <row r="510" spans="9:9" ht="14.6" x14ac:dyDescent="0.4">
      <c r="I510" s="165"/>
    </row>
    <row r="511" spans="9:9" ht="14.6" x14ac:dyDescent="0.4">
      <c r="I511" s="165"/>
    </row>
    <row r="512" spans="9:9" ht="14.6" x14ac:dyDescent="0.4">
      <c r="I512" s="165"/>
    </row>
    <row r="513" spans="9:9" ht="14.6" x14ac:dyDescent="0.4">
      <c r="I513" s="165"/>
    </row>
    <row r="514" spans="9:9" ht="14.6" x14ac:dyDescent="0.4">
      <c r="I514" s="165"/>
    </row>
    <row r="515" spans="9:9" ht="14.6" x14ac:dyDescent="0.4">
      <c r="I515" s="165"/>
    </row>
    <row r="516" spans="9:9" ht="14.6" x14ac:dyDescent="0.4">
      <c r="I516" s="165"/>
    </row>
    <row r="517" spans="9:9" ht="14.6" x14ac:dyDescent="0.4">
      <c r="I517" s="165"/>
    </row>
    <row r="518" spans="9:9" ht="14.6" x14ac:dyDescent="0.4">
      <c r="I518" s="165"/>
    </row>
    <row r="519" spans="9:9" ht="14.6" x14ac:dyDescent="0.4">
      <c r="I519" s="165"/>
    </row>
    <row r="520" spans="9:9" ht="14.6" x14ac:dyDescent="0.4">
      <c r="I520" s="165"/>
    </row>
    <row r="521" spans="9:9" ht="14.6" x14ac:dyDescent="0.4">
      <c r="I521" s="165"/>
    </row>
    <row r="522" spans="9:9" ht="14.6" x14ac:dyDescent="0.4">
      <c r="I522" s="165"/>
    </row>
    <row r="523" spans="9:9" ht="14.6" x14ac:dyDescent="0.4">
      <c r="I523" s="165"/>
    </row>
    <row r="524" spans="9:9" ht="14.6" x14ac:dyDescent="0.4">
      <c r="I524" s="165"/>
    </row>
    <row r="525" spans="9:9" ht="14.6" x14ac:dyDescent="0.4">
      <c r="I525" s="165"/>
    </row>
    <row r="526" spans="9:9" ht="14.6" x14ac:dyDescent="0.4">
      <c r="I526" s="165"/>
    </row>
    <row r="527" spans="9:9" ht="14.6" x14ac:dyDescent="0.4">
      <c r="I527" s="165"/>
    </row>
    <row r="528" spans="9:9" ht="14.6" x14ac:dyDescent="0.4">
      <c r="I528" s="165"/>
    </row>
    <row r="529" spans="9:9" ht="14.6" x14ac:dyDescent="0.4">
      <c r="I529" s="165"/>
    </row>
    <row r="530" spans="9:9" ht="14.6" x14ac:dyDescent="0.4">
      <c r="I530" s="165"/>
    </row>
    <row r="531" spans="9:9" ht="14.6" x14ac:dyDescent="0.4">
      <c r="I531" s="165"/>
    </row>
    <row r="532" spans="9:9" ht="14.6" x14ac:dyDescent="0.4">
      <c r="I532" s="165"/>
    </row>
    <row r="533" spans="9:9" ht="14.6" x14ac:dyDescent="0.4">
      <c r="I533" s="165"/>
    </row>
    <row r="534" spans="9:9" ht="14.6" x14ac:dyDescent="0.4">
      <c r="I534" s="165"/>
    </row>
    <row r="535" spans="9:9" ht="14.6" x14ac:dyDescent="0.4">
      <c r="I535" s="165"/>
    </row>
    <row r="536" spans="9:9" ht="14.6" x14ac:dyDescent="0.4">
      <c r="I536" s="165"/>
    </row>
    <row r="537" spans="9:9" ht="14.6" x14ac:dyDescent="0.4">
      <c r="I537" s="165"/>
    </row>
    <row r="538" spans="9:9" ht="14.6" x14ac:dyDescent="0.4">
      <c r="I538" s="165"/>
    </row>
    <row r="539" spans="9:9" ht="14.6" x14ac:dyDescent="0.4">
      <c r="I539" s="165"/>
    </row>
    <row r="540" spans="9:9" ht="14.6" x14ac:dyDescent="0.4">
      <c r="I540" s="165"/>
    </row>
    <row r="541" spans="9:9" ht="14.6" x14ac:dyDescent="0.4">
      <c r="I541" s="165"/>
    </row>
    <row r="542" spans="9:9" ht="14.6" x14ac:dyDescent="0.4">
      <c r="I542" s="165"/>
    </row>
    <row r="543" spans="9:9" ht="14.6" x14ac:dyDescent="0.4">
      <c r="I543" s="165"/>
    </row>
    <row r="544" spans="9:9" ht="14.6" x14ac:dyDescent="0.4">
      <c r="I544" s="165"/>
    </row>
    <row r="545" spans="9:9" ht="14.6" x14ac:dyDescent="0.4">
      <c r="I545" s="165"/>
    </row>
    <row r="546" spans="9:9" ht="14.6" x14ac:dyDescent="0.4">
      <c r="I546" s="165"/>
    </row>
    <row r="547" spans="9:9" ht="14.6" x14ac:dyDescent="0.4">
      <c r="I547" s="165"/>
    </row>
    <row r="548" spans="9:9" ht="14.6" x14ac:dyDescent="0.4">
      <c r="I548" s="165"/>
    </row>
    <row r="549" spans="9:9" ht="14.6" x14ac:dyDescent="0.4">
      <c r="I549" s="165"/>
    </row>
    <row r="550" spans="9:9" ht="14.6" x14ac:dyDescent="0.4">
      <c r="I550" s="165"/>
    </row>
    <row r="551" spans="9:9" ht="14.6" x14ac:dyDescent="0.4">
      <c r="I551" s="165"/>
    </row>
    <row r="552" spans="9:9" ht="14.6" x14ac:dyDescent="0.4">
      <c r="I552" s="165"/>
    </row>
    <row r="553" spans="9:9" ht="14.6" x14ac:dyDescent="0.4">
      <c r="I553" s="165"/>
    </row>
    <row r="554" spans="9:9" ht="14.6" x14ac:dyDescent="0.4">
      <c r="I554" s="165"/>
    </row>
    <row r="555" spans="9:9" ht="14.6" x14ac:dyDescent="0.4">
      <c r="I555" s="165"/>
    </row>
    <row r="556" spans="9:9" ht="14.6" x14ac:dyDescent="0.4">
      <c r="I556" s="165"/>
    </row>
    <row r="557" spans="9:9" ht="14.6" x14ac:dyDescent="0.4">
      <c r="I557" s="165"/>
    </row>
    <row r="558" spans="9:9" ht="14.6" x14ac:dyDescent="0.4">
      <c r="I558" s="165"/>
    </row>
    <row r="559" spans="9:9" ht="14.6" x14ac:dyDescent="0.4">
      <c r="I559" s="165"/>
    </row>
    <row r="560" spans="9:9" ht="14.6" x14ac:dyDescent="0.4">
      <c r="I560" s="165"/>
    </row>
    <row r="561" spans="9:9" ht="14.6" x14ac:dyDescent="0.4">
      <c r="I561" s="165"/>
    </row>
    <row r="562" spans="9:9" ht="14.6" x14ac:dyDescent="0.4">
      <c r="I562" s="165"/>
    </row>
    <row r="563" spans="9:9" ht="14.6" x14ac:dyDescent="0.4">
      <c r="I563" s="165"/>
    </row>
    <row r="564" spans="9:9" ht="14.6" x14ac:dyDescent="0.4">
      <c r="I564" s="165"/>
    </row>
    <row r="565" spans="9:9" ht="14.6" x14ac:dyDescent="0.4">
      <c r="I565" s="165"/>
    </row>
    <row r="566" spans="9:9" ht="14.6" x14ac:dyDescent="0.4">
      <c r="I566" s="165"/>
    </row>
    <row r="567" spans="9:9" ht="14.6" x14ac:dyDescent="0.4">
      <c r="I567" s="165"/>
    </row>
    <row r="568" spans="9:9" ht="14.6" x14ac:dyDescent="0.4">
      <c r="I568" s="165"/>
    </row>
    <row r="569" spans="9:9" ht="14.6" x14ac:dyDescent="0.4">
      <c r="I569" s="165"/>
    </row>
    <row r="570" spans="9:9" ht="14.6" x14ac:dyDescent="0.4">
      <c r="I570" s="165"/>
    </row>
    <row r="571" spans="9:9" ht="14.6" x14ac:dyDescent="0.4">
      <c r="I571" s="165"/>
    </row>
    <row r="572" spans="9:9" ht="14.6" x14ac:dyDescent="0.4">
      <c r="I572" s="165"/>
    </row>
    <row r="573" spans="9:9" ht="14.6" x14ac:dyDescent="0.4">
      <c r="I573" s="165"/>
    </row>
    <row r="574" spans="9:9" ht="14.6" x14ac:dyDescent="0.4">
      <c r="I574" s="165"/>
    </row>
    <row r="575" spans="9:9" ht="14.6" x14ac:dyDescent="0.4">
      <c r="I575" s="165"/>
    </row>
    <row r="576" spans="9:9" ht="14.6" x14ac:dyDescent="0.4">
      <c r="I576" s="165"/>
    </row>
    <row r="577" spans="9:9" ht="14.6" x14ac:dyDescent="0.4">
      <c r="I577" s="165"/>
    </row>
    <row r="578" spans="9:9" ht="14.6" x14ac:dyDescent="0.4">
      <c r="I578" s="165"/>
    </row>
    <row r="579" spans="9:9" ht="14.6" x14ac:dyDescent="0.4">
      <c r="I579" s="165"/>
    </row>
    <row r="580" spans="9:9" ht="14.6" x14ac:dyDescent="0.4">
      <c r="I580" s="165"/>
    </row>
    <row r="581" spans="9:9" ht="14.6" x14ac:dyDescent="0.4">
      <c r="I581" s="165"/>
    </row>
    <row r="582" spans="9:9" ht="14.6" x14ac:dyDescent="0.4">
      <c r="I582" s="165"/>
    </row>
    <row r="583" spans="9:9" ht="14.6" x14ac:dyDescent="0.4">
      <c r="I583" s="165"/>
    </row>
    <row r="584" spans="9:9" ht="14.6" x14ac:dyDescent="0.4">
      <c r="I584" s="165"/>
    </row>
    <row r="585" spans="9:9" ht="14.6" x14ac:dyDescent="0.4">
      <c r="I585" s="165"/>
    </row>
    <row r="586" spans="9:9" ht="14.6" x14ac:dyDescent="0.4">
      <c r="I586" s="165"/>
    </row>
    <row r="587" spans="9:9" ht="14.6" x14ac:dyDescent="0.4">
      <c r="I587" s="165"/>
    </row>
    <row r="588" spans="9:9" ht="14.6" x14ac:dyDescent="0.4">
      <c r="I588" s="165"/>
    </row>
    <row r="589" spans="9:9" ht="14.6" x14ac:dyDescent="0.4">
      <c r="I589" s="165"/>
    </row>
    <row r="590" spans="9:9" ht="14.6" x14ac:dyDescent="0.4">
      <c r="I590" s="165"/>
    </row>
    <row r="591" spans="9:9" ht="14.6" x14ac:dyDescent="0.4">
      <c r="I591" s="165"/>
    </row>
    <row r="592" spans="9:9" ht="14.6" x14ac:dyDescent="0.4">
      <c r="I592" s="165"/>
    </row>
    <row r="593" spans="9:9" ht="14.6" x14ac:dyDescent="0.4">
      <c r="I593" s="165"/>
    </row>
    <row r="594" spans="9:9" ht="14.6" x14ac:dyDescent="0.4">
      <c r="I594" s="165"/>
    </row>
    <row r="595" spans="9:9" ht="14.6" x14ac:dyDescent="0.4">
      <c r="I595" s="165"/>
    </row>
    <row r="596" spans="9:9" ht="14.6" x14ac:dyDescent="0.4">
      <c r="I596" s="165"/>
    </row>
    <row r="597" spans="9:9" ht="14.6" x14ac:dyDescent="0.4">
      <c r="I597" s="165"/>
    </row>
    <row r="598" spans="9:9" ht="14.6" x14ac:dyDescent="0.4">
      <c r="I598" s="165"/>
    </row>
    <row r="599" spans="9:9" ht="14.6" x14ac:dyDescent="0.4">
      <c r="I599" s="165"/>
    </row>
    <row r="600" spans="9:9" ht="14.6" x14ac:dyDescent="0.4">
      <c r="I600" s="165"/>
    </row>
    <row r="601" spans="9:9" ht="14.6" x14ac:dyDescent="0.4">
      <c r="I601" s="165"/>
    </row>
    <row r="602" spans="9:9" ht="14.6" x14ac:dyDescent="0.4">
      <c r="I602" s="165"/>
    </row>
    <row r="603" spans="9:9" ht="14.6" x14ac:dyDescent="0.4">
      <c r="I603" s="165"/>
    </row>
    <row r="604" spans="9:9" ht="14.6" x14ac:dyDescent="0.4">
      <c r="I604" s="165"/>
    </row>
    <row r="605" spans="9:9" ht="14.6" x14ac:dyDescent="0.4">
      <c r="I605" s="165"/>
    </row>
    <row r="606" spans="9:9" ht="14.6" x14ac:dyDescent="0.4">
      <c r="I606" s="165"/>
    </row>
    <row r="607" spans="9:9" ht="14.6" x14ac:dyDescent="0.4">
      <c r="I607" s="165"/>
    </row>
    <row r="608" spans="9:9" ht="14.6" x14ac:dyDescent="0.4">
      <c r="I608" s="165"/>
    </row>
    <row r="609" spans="9:9" ht="14.6" x14ac:dyDescent="0.4">
      <c r="I609" s="165"/>
    </row>
    <row r="610" spans="9:9" ht="14.6" x14ac:dyDescent="0.4">
      <c r="I610" s="165"/>
    </row>
    <row r="611" spans="9:9" ht="14.6" x14ac:dyDescent="0.4">
      <c r="I611" s="165"/>
    </row>
    <row r="612" spans="9:9" ht="14.6" x14ac:dyDescent="0.4">
      <c r="I612" s="165"/>
    </row>
    <row r="613" spans="9:9" ht="14.6" x14ac:dyDescent="0.4">
      <c r="I613" s="165"/>
    </row>
    <row r="614" spans="9:9" ht="14.6" x14ac:dyDescent="0.4">
      <c r="I614" s="165"/>
    </row>
    <row r="615" spans="9:9" ht="14.6" x14ac:dyDescent="0.4">
      <c r="I615" s="165"/>
    </row>
    <row r="616" spans="9:9" ht="14.6" x14ac:dyDescent="0.4">
      <c r="I616" s="165"/>
    </row>
    <row r="617" spans="9:9" ht="14.6" x14ac:dyDescent="0.4">
      <c r="I617" s="165"/>
    </row>
    <row r="618" spans="9:9" ht="14.6" x14ac:dyDescent="0.4">
      <c r="I618" s="165"/>
    </row>
    <row r="619" spans="9:9" ht="14.6" x14ac:dyDescent="0.4">
      <c r="I619" s="165"/>
    </row>
    <row r="620" spans="9:9" ht="14.6" x14ac:dyDescent="0.4">
      <c r="I620" s="165"/>
    </row>
    <row r="621" spans="9:9" ht="14.6" x14ac:dyDescent="0.4">
      <c r="I621" s="165"/>
    </row>
    <row r="622" spans="9:9" ht="14.6" x14ac:dyDescent="0.4">
      <c r="I622" s="165"/>
    </row>
    <row r="623" spans="9:9" ht="14.6" x14ac:dyDescent="0.4">
      <c r="I623" s="165"/>
    </row>
    <row r="624" spans="9:9" ht="14.6" x14ac:dyDescent="0.4">
      <c r="I624" s="165"/>
    </row>
    <row r="625" spans="9:9" ht="14.6" x14ac:dyDescent="0.4">
      <c r="I625" s="165"/>
    </row>
    <row r="626" spans="9:9" ht="14.6" x14ac:dyDescent="0.4">
      <c r="I626" s="165"/>
    </row>
    <row r="627" spans="9:9" ht="14.6" x14ac:dyDescent="0.4">
      <c r="I627" s="165"/>
    </row>
    <row r="628" spans="9:9" ht="14.6" x14ac:dyDescent="0.4">
      <c r="I628" s="165"/>
    </row>
    <row r="629" spans="9:9" ht="14.6" x14ac:dyDescent="0.4">
      <c r="I629" s="165"/>
    </row>
    <row r="630" spans="9:9" ht="14.6" x14ac:dyDescent="0.4">
      <c r="I630" s="165"/>
    </row>
    <row r="631" spans="9:9" ht="14.6" x14ac:dyDescent="0.4">
      <c r="I631" s="165"/>
    </row>
    <row r="632" spans="9:9" ht="14.6" x14ac:dyDescent="0.4">
      <c r="I632" s="165"/>
    </row>
    <row r="633" spans="9:9" ht="14.6" x14ac:dyDescent="0.4">
      <c r="I633" s="165"/>
    </row>
    <row r="634" spans="9:9" ht="14.6" x14ac:dyDescent="0.4">
      <c r="I634" s="165"/>
    </row>
    <row r="635" spans="9:9" ht="14.6" x14ac:dyDescent="0.4">
      <c r="I635" s="165"/>
    </row>
    <row r="636" spans="9:9" ht="14.6" x14ac:dyDescent="0.4">
      <c r="I636" s="165"/>
    </row>
    <row r="637" spans="9:9" ht="14.6" x14ac:dyDescent="0.4">
      <c r="I637" s="165"/>
    </row>
    <row r="638" spans="9:9" ht="14.6" x14ac:dyDescent="0.4">
      <c r="I638" s="165"/>
    </row>
    <row r="639" spans="9:9" ht="14.6" x14ac:dyDescent="0.4">
      <c r="I639" s="165"/>
    </row>
    <row r="640" spans="9:9" ht="14.6" x14ac:dyDescent="0.4">
      <c r="I640" s="165"/>
    </row>
    <row r="641" spans="9:9" ht="14.6" x14ac:dyDescent="0.4">
      <c r="I641" s="165"/>
    </row>
    <row r="642" spans="9:9" ht="14.6" x14ac:dyDescent="0.4">
      <c r="I642" s="165"/>
    </row>
    <row r="643" spans="9:9" ht="14.6" x14ac:dyDescent="0.4">
      <c r="I643" s="165"/>
    </row>
    <row r="644" spans="9:9" ht="14.6" x14ac:dyDescent="0.4">
      <c r="I644" s="165"/>
    </row>
    <row r="645" spans="9:9" ht="14.6" x14ac:dyDescent="0.4">
      <c r="I645" s="165"/>
    </row>
    <row r="646" spans="9:9" ht="14.6" x14ac:dyDescent="0.4">
      <c r="I646" s="165"/>
    </row>
    <row r="647" spans="9:9" ht="14.6" x14ac:dyDescent="0.4">
      <c r="I647" s="165"/>
    </row>
    <row r="648" spans="9:9" ht="14.6" x14ac:dyDescent="0.4">
      <c r="I648" s="165"/>
    </row>
    <row r="649" spans="9:9" ht="14.6" x14ac:dyDescent="0.4">
      <c r="I649" s="165"/>
    </row>
    <row r="650" spans="9:9" ht="14.6" x14ac:dyDescent="0.4">
      <c r="I650" s="165"/>
    </row>
    <row r="651" spans="9:9" ht="14.6" x14ac:dyDescent="0.4">
      <c r="I651" s="165"/>
    </row>
    <row r="652" spans="9:9" ht="14.6" x14ac:dyDescent="0.4">
      <c r="I652" s="165"/>
    </row>
    <row r="653" spans="9:9" ht="14.6" x14ac:dyDescent="0.4">
      <c r="I653" s="165"/>
    </row>
    <row r="654" spans="9:9" ht="14.6" x14ac:dyDescent="0.4">
      <c r="I654" s="165"/>
    </row>
    <row r="655" spans="9:9" ht="14.6" x14ac:dyDescent="0.4">
      <c r="I655" s="165"/>
    </row>
    <row r="656" spans="9:9" ht="14.6" x14ac:dyDescent="0.4">
      <c r="I656" s="165"/>
    </row>
    <row r="657" spans="9:9" ht="14.6" x14ac:dyDescent="0.4">
      <c r="I657" s="165"/>
    </row>
    <row r="658" spans="9:9" ht="14.6" x14ac:dyDescent="0.4">
      <c r="I658" s="165"/>
    </row>
    <row r="659" spans="9:9" ht="14.6" x14ac:dyDescent="0.4">
      <c r="I659" s="165"/>
    </row>
    <row r="660" spans="9:9" ht="14.6" x14ac:dyDescent="0.4">
      <c r="I660" s="165"/>
    </row>
    <row r="661" spans="9:9" ht="14.6" x14ac:dyDescent="0.4">
      <c r="I661" s="165"/>
    </row>
    <row r="662" spans="9:9" ht="14.6" x14ac:dyDescent="0.4">
      <c r="I662" s="165"/>
    </row>
    <row r="663" spans="9:9" ht="14.6" x14ac:dyDescent="0.4">
      <c r="I663" s="165"/>
    </row>
    <row r="664" spans="9:9" ht="14.6" x14ac:dyDescent="0.4">
      <c r="I664" s="165"/>
    </row>
    <row r="665" spans="9:9" ht="14.6" x14ac:dyDescent="0.4">
      <c r="I665" s="165"/>
    </row>
    <row r="666" spans="9:9" ht="14.6" x14ac:dyDescent="0.4">
      <c r="I666" s="165"/>
    </row>
    <row r="667" spans="9:9" ht="14.6" x14ac:dyDescent="0.4">
      <c r="I667" s="165"/>
    </row>
    <row r="668" spans="9:9" ht="14.6" x14ac:dyDescent="0.4">
      <c r="I668" s="165"/>
    </row>
    <row r="669" spans="9:9" ht="14.6" x14ac:dyDescent="0.4">
      <c r="I669" s="165"/>
    </row>
    <row r="670" spans="9:9" ht="14.6" x14ac:dyDescent="0.4">
      <c r="I670" s="165"/>
    </row>
    <row r="671" spans="9:9" ht="14.6" x14ac:dyDescent="0.4">
      <c r="I671" s="165"/>
    </row>
    <row r="672" spans="9:9" ht="14.6" x14ac:dyDescent="0.4">
      <c r="I672" s="165"/>
    </row>
    <row r="673" spans="9:9" ht="14.6" x14ac:dyDescent="0.4">
      <c r="I673" s="165"/>
    </row>
    <row r="674" spans="9:9" ht="14.6" x14ac:dyDescent="0.4">
      <c r="I674" s="165"/>
    </row>
    <row r="675" spans="9:9" ht="14.6" x14ac:dyDescent="0.4">
      <c r="I675" s="165"/>
    </row>
    <row r="676" spans="9:9" ht="14.6" x14ac:dyDescent="0.4">
      <c r="I676" s="165"/>
    </row>
    <row r="677" spans="9:9" ht="14.6" x14ac:dyDescent="0.4">
      <c r="I677" s="165"/>
    </row>
    <row r="678" spans="9:9" ht="14.6" x14ac:dyDescent="0.4">
      <c r="I678" s="165"/>
    </row>
    <row r="679" spans="9:9" ht="14.6" x14ac:dyDescent="0.4">
      <c r="I679" s="165"/>
    </row>
    <row r="680" spans="9:9" ht="14.6" x14ac:dyDescent="0.4">
      <c r="I680" s="165"/>
    </row>
    <row r="681" spans="9:9" ht="14.6" x14ac:dyDescent="0.4">
      <c r="I681" s="165"/>
    </row>
    <row r="682" spans="9:9" ht="14.6" x14ac:dyDescent="0.4">
      <c r="I682" s="165"/>
    </row>
    <row r="683" spans="9:9" ht="14.6" x14ac:dyDescent="0.4">
      <c r="I683" s="165"/>
    </row>
    <row r="684" spans="9:9" ht="14.6" x14ac:dyDescent="0.4">
      <c r="I684" s="165"/>
    </row>
    <row r="685" spans="9:9" ht="14.6" x14ac:dyDescent="0.4">
      <c r="I685" s="165"/>
    </row>
    <row r="686" spans="9:9" ht="14.6" x14ac:dyDescent="0.4">
      <c r="I686" s="165"/>
    </row>
    <row r="687" spans="9:9" ht="14.6" x14ac:dyDescent="0.4">
      <c r="I687" s="165"/>
    </row>
    <row r="688" spans="9:9" ht="14.6" x14ac:dyDescent="0.4">
      <c r="I688" s="165"/>
    </row>
    <row r="689" spans="9:9" ht="14.6" x14ac:dyDescent="0.4">
      <c r="I689" s="165"/>
    </row>
    <row r="690" spans="9:9" ht="14.6" x14ac:dyDescent="0.4">
      <c r="I690" s="165"/>
    </row>
    <row r="691" spans="9:9" ht="14.6" x14ac:dyDescent="0.4">
      <c r="I691" s="165"/>
    </row>
    <row r="692" spans="9:9" ht="14.6" x14ac:dyDescent="0.4">
      <c r="I692" s="165"/>
    </row>
    <row r="693" spans="9:9" ht="14.6" x14ac:dyDescent="0.4">
      <c r="I693" s="165"/>
    </row>
    <row r="694" spans="9:9" ht="14.6" x14ac:dyDescent="0.4">
      <c r="I694" s="165"/>
    </row>
    <row r="695" spans="9:9" ht="14.6" x14ac:dyDescent="0.4">
      <c r="I695" s="165"/>
    </row>
    <row r="696" spans="9:9" ht="14.6" x14ac:dyDescent="0.4">
      <c r="I696" s="165"/>
    </row>
    <row r="697" spans="9:9" ht="14.6" x14ac:dyDescent="0.4">
      <c r="I697" s="165"/>
    </row>
    <row r="698" spans="9:9" ht="14.6" x14ac:dyDescent="0.4">
      <c r="I698" s="165"/>
    </row>
    <row r="699" spans="9:9" ht="14.6" x14ac:dyDescent="0.4">
      <c r="I699" s="165"/>
    </row>
    <row r="700" spans="9:9" ht="14.6" x14ac:dyDescent="0.4">
      <c r="I700" s="165"/>
    </row>
    <row r="701" spans="9:9" ht="14.6" x14ac:dyDescent="0.4">
      <c r="I701" s="165"/>
    </row>
    <row r="702" spans="9:9" ht="14.6" x14ac:dyDescent="0.4">
      <c r="I702" s="165"/>
    </row>
    <row r="703" spans="9:9" ht="14.6" x14ac:dyDescent="0.4">
      <c r="I703" s="165"/>
    </row>
    <row r="704" spans="9:9" ht="14.6" x14ac:dyDescent="0.4">
      <c r="I704" s="165"/>
    </row>
    <row r="705" spans="9:9" ht="14.6" x14ac:dyDescent="0.4">
      <c r="I705" s="165"/>
    </row>
    <row r="706" spans="9:9" ht="14.6" x14ac:dyDescent="0.4">
      <c r="I706" s="165"/>
    </row>
    <row r="707" spans="9:9" ht="14.6" x14ac:dyDescent="0.4">
      <c r="I707" s="165"/>
    </row>
    <row r="708" spans="9:9" ht="14.6" x14ac:dyDescent="0.4">
      <c r="I708" s="165"/>
    </row>
    <row r="709" spans="9:9" ht="14.6" x14ac:dyDescent="0.4">
      <c r="I709" s="165"/>
    </row>
    <row r="710" spans="9:9" ht="14.6" x14ac:dyDescent="0.4">
      <c r="I710" s="165"/>
    </row>
    <row r="711" spans="9:9" ht="14.6" x14ac:dyDescent="0.4">
      <c r="I711" s="165"/>
    </row>
    <row r="712" spans="9:9" ht="14.6" x14ac:dyDescent="0.4">
      <c r="I712" s="165"/>
    </row>
    <row r="713" spans="9:9" ht="14.6" x14ac:dyDescent="0.4">
      <c r="I713" s="165"/>
    </row>
    <row r="714" spans="9:9" ht="14.6" x14ac:dyDescent="0.4">
      <c r="I714" s="165"/>
    </row>
    <row r="715" spans="9:9" ht="14.6" x14ac:dyDescent="0.4">
      <c r="I715" s="165"/>
    </row>
    <row r="716" spans="9:9" ht="14.6" x14ac:dyDescent="0.4">
      <c r="I716" s="165"/>
    </row>
    <row r="717" spans="9:9" ht="14.6" x14ac:dyDescent="0.4">
      <c r="I717" s="165"/>
    </row>
    <row r="718" spans="9:9" ht="14.6" x14ac:dyDescent="0.4">
      <c r="I718" s="165"/>
    </row>
    <row r="719" spans="9:9" ht="14.6" x14ac:dyDescent="0.4">
      <c r="I719" s="165"/>
    </row>
    <row r="720" spans="9:9" ht="14.6" x14ac:dyDescent="0.4">
      <c r="I720" s="165"/>
    </row>
    <row r="721" spans="9:9" ht="14.6" x14ac:dyDescent="0.4">
      <c r="I721" s="165"/>
    </row>
    <row r="722" spans="9:9" ht="14.6" x14ac:dyDescent="0.4">
      <c r="I722" s="165"/>
    </row>
    <row r="723" spans="9:9" ht="14.6" x14ac:dyDescent="0.4">
      <c r="I723" s="165"/>
    </row>
    <row r="724" spans="9:9" ht="14.6" x14ac:dyDescent="0.4">
      <c r="I724" s="165"/>
    </row>
    <row r="725" spans="9:9" ht="14.6" x14ac:dyDescent="0.4">
      <c r="I725" s="165"/>
    </row>
    <row r="726" spans="9:9" ht="14.6" x14ac:dyDescent="0.4">
      <c r="I726" s="165"/>
    </row>
    <row r="727" spans="9:9" ht="14.6" x14ac:dyDescent="0.4">
      <c r="I727" s="165"/>
    </row>
    <row r="728" spans="9:9" ht="14.6" x14ac:dyDescent="0.4">
      <c r="I728" s="165"/>
    </row>
    <row r="729" spans="9:9" ht="14.6" x14ac:dyDescent="0.4">
      <c r="I729" s="165"/>
    </row>
    <row r="730" spans="9:9" ht="14.6" x14ac:dyDescent="0.4">
      <c r="I730" s="165"/>
    </row>
    <row r="731" spans="9:9" ht="14.6" x14ac:dyDescent="0.4">
      <c r="I731" s="165"/>
    </row>
    <row r="732" spans="9:9" ht="14.6" x14ac:dyDescent="0.4">
      <c r="I732" s="165"/>
    </row>
    <row r="733" spans="9:9" ht="14.6" x14ac:dyDescent="0.4">
      <c r="I733" s="165"/>
    </row>
    <row r="734" spans="9:9" ht="14.6" x14ac:dyDescent="0.4">
      <c r="I734" s="165"/>
    </row>
    <row r="735" spans="9:9" ht="14.6" x14ac:dyDescent="0.4">
      <c r="I735" s="165"/>
    </row>
    <row r="736" spans="9:9" ht="14.6" x14ac:dyDescent="0.4">
      <c r="I736" s="165"/>
    </row>
    <row r="737" spans="9:9" ht="14.6" x14ac:dyDescent="0.4">
      <c r="I737" s="165"/>
    </row>
    <row r="738" spans="9:9" ht="14.6" x14ac:dyDescent="0.4">
      <c r="I738" s="165"/>
    </row>
    <row r="739" spans="9:9" ht="14.6" x14ac:dyDescent="0.4">
      <c r="I739" s="165"/>
    </row>
    <row r="740" spans="9:9" ht="14.6" x14ac:dyDescent="0.4">
      <c r="I740" s="165"/>
    </row>
    <row r="741" spans="9:9" ht="14.6" x14ac:dyDescent="0.4">
      <c r="I741" s="165"/>
    </row>
    <row r="742" spans="9:9" ht="14.6" x14ac:dyDescent="0.4">
      <c r="I742" s="165"/>
    </row>
    <row r="743" spans="9:9" ht="14.6" x14ac:dyDescent="0.4">
      <c r="I743" s="165"/>
    </row>
    <row r="744" spans="9:9" ht="14.6" x14ac:dyDescent="0.4">
      <c r="I744" s="165"/>
    </row>
    <row r="745" spans="9:9" ht="14.6" x14ac:dyDescent="0.4">
      <c r="I745" s="165"/>
    </row>
    <row r="746" spans="9:9" ht="14.6" x14ac:dyDescent="0.4">
      <c r="I746" s="165"/>
    </row>
    <row r="747" spans="9:9" ht="14.6" x14ac:dyDescent="0.4">
      <c r="I747" s="165"/>
    </row>
    <row r="748" spans="9:9" ht="14.6" x14ac:dyDescent="0.4">
      <c r="I748" s="165"/>
    </row>
    <row r="749" spans="9:9" ht="14.6" x14ac:dyDescent="0.4">
      <c r="I749" s="165"/>
    </row>
    <row r="750" spans="9:9" ht="14.6" x14ac:dyDescent="0.4">
      <c r="I750" s="165"/>
    </row>
    <row r="751" spans="9:9" ht="14.6" x14ac:dyDescent="0.4">
      <c r="I751" s="165"/>
    </row>
    <row r="752" spans="9:9" ht="14.6" x14ac:dyDescent="0.4">
      <c r="I752" s="165"/>
    </row>
    <row r="753" spans="9:9" ht="14.6" x14ac:dyDescent="0.4">
      <c r="I753" s="165"/>
    </row>
    <row r="754" spans="9:9" ht="14.6" x14ac:dyDescent="0.4">
      <c r="I754" s="165"/>
    </row>
    <row r="755" spans="9:9" ht="14.6" x14ac:dyDescent="0.4">
      <c r="I755" s="165"/>
    </row>
    <row r="756" spans="9:9" ht="14.6" x14ac:dyDescent="0.4">
      <c r="I756" s="165"/>
    </row>
    <row r="757" spans="9:9" ht="14.6" x14ac:dyDescent="0.4">
      <c r="I757" s="165"/>
    </row>
    <row r="758" spans="9:9" ht="14.6" x14ac:dyDescent="0.4">
      <c r="I758" s="165"/>
    </row>
    <row r="759" spans="9:9" ht="14.6" x14ac:dyDescent="0.4">
      <c r="I759" s="165"/>
    </row>
    <row r="760" spans="9:9" ht="14.6" x14ac:dyDescent="0.4">
      <c r="I760" s="165"/>
    </row>
    <row r="761" spans="9:9" ht="14.6" x14ac:dyDescent="0.4">
      <c r="I761" s="165"/>
    </row>
    <row r="762" spans="9:9" ht="14.6" x14ac:dyDescent="0.4">
      <c r="I762" s="165"/>
    </row>
    <row r="763" spans="9:9" ht="14.6" x14ac:dyDescent="0.4">
      <c r="I763" s="165"/>
    </row>
    <row r="764" spans="9:9" ht="14.6" x14ac:dyDescent="0.4">
      <c r="I764" s="165"/>
    </row>
    <row r="765" spans="9:9" ht="14.6" x14ac:dyDescent="0.4">
      <c r="I765" s="165"/>
    </row>
    <row r="766" spans="9:9" ht="14.6" x14ac:dyDescent="0.4">
      <c r="I766" s="165"/>
    </row>
    <row r="767" spans="9:9" ht="14.6" x14ac:dyDescent="0.4">
      <c r="I767" s="165"/>
    </row>
    <row r="768" spans="9:9" ht="14.6" x14ac:dyDescent="0.4">
      <c r="I768" s="165"/>
    </row>
    <row r="769" spans="9:9" ht="14.6" x14ac:dyDescent="0.4">
      <c r="I769" s="165"/>
    </row>
    <row r="770" spans="9:9" ht="14.6" x14ac:dyDescent="0.4">
      <c r="I770" s="165"/>
    </row>
    <row r="771" spans="9:9" ht="14.6" x14ac:dyDescent="0.4">
      <c r="I771" s="165"/>
    </row>
    <row r="772" spans="9:9" ht="14.6" x14ac:dyDescent="0.4">
      <c r="I772" s="165"/>
    </row>
    <row r="773" spans="9:9" ht="14.6" x14ac:dyDescent="0.4">
      <c r="I773" s="165"/>
    </row>
    <row r="774" spans="9:9" ht="14.6" x14ac:dyDescent="0.4">
      <c r="I774" s="165"/>
    </row>
    <row r="775" spans="9:9" ht="14.6" x14ac:dyDescent="0.4">
      <c r="I775" s="165"/>
    </row>
    <row r="776" spans="9:9" ht="14.6" x14ac:dyDescent="0.4">
      <c r="I776" s="165"/>
    </row>
    <row r="777" spans="9:9" ht="14.6" x14ac:dyDescent="0.4">
      <c r="I777" s="165"/>
    </row>
    <row r="778" spans="9:9" ht="14.6" x14ac:dyDescent="0.4">
      <c r="I778" s="165"/>
    </row>
    <row r="779" spans="9:9" ht="14.6" x14ac:dyDescent="0.4">
      <c r="I779" s="165"/>
    </row>
    <row r="780" spans="9:9" ht="14.6" x14ac:dyDescent="0.4">
      <c r="I780" s="165"/>
    </row>
    <row r="781" spans="9:9" ht="14.6" x14ac:dyDescent="0.4">
      <c r="I781" s="165"/>
    </row>
    <row r="782" spans="9:9" ht="14.6" x14ac:dyDescent="0.4">
      <c r="I782" s="165"/>
    </row>
    <row r="783" spans="9:9" ht="14.6" x14ac:dyDescent="0.4">
      <c r="I783" s="165"/>
    </row>
    <row r="784" spans="9:9" ht="14.6" x14ac:dyDescent="0.4">
      <c r="I784" s="165"/>
    </row>
    <row r="785" spans="9:9" ht="14.6" x14ac:dyDescent="0.4">
      <c r="I785" s="165"/>
    </row>
    <row r="786" spans="9:9" ht="14.6" x14ac:dyDescent="0.4">
      <c r="I786" s="165"/>
    </row>
    <row r="787" spans="9:9" ht="14.6" x14ac:dyDescent="0.4">
      <c r="I787" s="165"/>
    </row>
    <row r="788" spans="9:9" ht="14.6" x14ac:dyDescent="0.4">
      <c r="I788" s="165"/>
    </row>
    <row r="789" spans="9:9" ht="14.6" x14ac:dyDescent="0.4">
      <c r="I789" s="165"/>
    </row>
    <row r="790" spans="9:9" ht="14.6" x14ac:dyDescent="0.4">
      <c r="I790" s="165"/>
    </row>
    <row r="791" spans="9:9" ht="14.6" x14ac:dyDescent="0.4">
      <c r="I791" s="165"/>
    </row>
    <row r="792" spans="9:9" ht="14.6" x14ac:dyDescent="0.4">
      <c r="I792" s="165"/>
    </row>
    <row r="793" spans="9:9" ht="14.6" x14ac:dyDescent="0.4">
      <c r="I793" s="165"/>
    </row>
    <row r="794" spans="9:9" ht="14.6" x14ac:dyDescent="0.4">
      <c r="I794" s="165"/>
    </row>
    <row r="795" spans="9:9" ht="14.6" x14ac:dyDescent="0.4">
      <c r="I795" s="165"/>
    </row>
    <row r="796" spans="9:9" ht="14.6" x14ac:dyDescent="0.4">
      <c r="I796" s="165"/>
    </row>
    <row r="797" spans="9:9" ht="14.6" x14ac:dyDescent="0.4">
      <c r="I797" s="165"/>
    </row>
    <row r="798" spans="9:9" ht="14.6" x14ac:dyDescent="0.4">
      <c r="I798" s="165"/>
    </row>
    <row r="799" spans="9:9" ht="14.6" x14ac:dyDescent="0.4">
      <c r="I799" s="165"/>
    </row>
    <row r="800" spans="9:9" ht="14.6" x14ac:dyDescent="0.4">
      <c r="I800" s="165"/>
    </row>
    <row r="801" spans="9:9" ht="14.6" x14ac:dyDescent="0.4">
      <c r="I801" s="165"/>
    </row>
    <row r="802" spans="9:9" ht="14.6" x14ac:dyDescent="0.4">
      <c r="I802" s="165"/>
    </row>
    <row r="803" spans="9:9" ht="14.6" x14ac:dyDescent="0.4">
      <c r="I803" s="165"/>
    </row>
    <row r="804" spans="9:9" ht="14.6" x14ac:dyDescent="0.4">
      <c r="I804" s="165"/>
    </row>
    <row r="805" spans="9:9" ht="14.6" x14ac:dyDescent="0.4">
      <c r="I805" s="165"/>
    </row>
    <row r="806" spans="9:9" ht="14.6" x14ac:dyDescent="0.4">
      <c r="I806" s="165"/>
    </row>
    <row r="807" spans="9:9" ht="14.6" x14ac:dyDescent="0.4">
      <c r="I807" s="165"/>
    </row>
    <row r="808" spans="9:9" ht="14.6" x14ac:dyDescent="0.4">
      <c r="I808" s="165"/>
    </row>
    <row r="809" spans="9:9" ht="14.6" x14ac:dyDescent="0.4">
      <c r="I809" s="165"/>
    </row>
    <row r="810" spans="9:9" ht="14.6" x14ac:dyDescent="0.4">
      <c r="I810" s="165"/>
    </row>
    <row r="811" spans="9:9" ht="14.6" x14ac:dyDescent="0.4">
      <c r="I811" s="165"/>
    </row>
    <row r="812" spans="9:9" ht="14.6" x14ac:dyDescent="0.4">
      <c r="I812" s="165"/>
    </row>
    <row r="813" spans="9:9" ht="14.6" x14ac:dyDescent="0.4">
      <c r="I813" s="165"/>
    </row>
    <row r="814" spans="9:9" ht="14.6" x14ac:dyDescent="0.4">
      <c r="I814" s="165"/>
    </row>
    <row r="815" spans="9:9" ht="14.6" x14ac:dyDescent="0.4">
      <c r="I815" s="165"/>
    </row>
    <row r="816" spans="9:9" ht="14.6" x14ac:dyDescent="0.4">
      <c r="I816" s="165"/>
    </row>
    <row r="817" spans="9:9" ht="14.6" x14ac:dyDescent="0.4">
      <c r="I817" s="165"/>
    </row>
    <row r="818" spans="9:9" ht="14.6" x14ac:dyDescent="0.4">
      <c r="I818" s="165"/>
    </row>
    <row r="819" spans="9:9" ht="14.6" x14ac:dyDescent="0.4">
      <c r="I819" s="165"/>
    </row>
    <row r="820" spans="9:9" ht="14.6" x14ac:dyDescent="0.4">
      <c r="I820" s="165"/>
    </row>
    <row r="821" spans="9:9" ht="14.6" x14ac:dyDescent="0.4">
      <c r="I821" s="165"/>
    </row>
    <row r="822" spans="9:9" ht="14.6" x14ac:dyDescent="0.4">
      <c r="I822" s="165"/>
    </row>
    <row r="823" spans="9:9" ht="14.6" x14ac:dyDescent="0.4">
      <c r="I823" s="165"/>
    </row>
    <row r="824" spans="9:9" ht="14.6" x14ac:dyDescent="0.4">
      <c r="I824" s="165"/>
    </row>
    <row r="825" spans="9:9" ht="14.6" x14ac:dyDescent="0.4">
      <c r="I825" s="165"/>
    </row>
    <row r="826" spans="9:9" ht="14.6" x14ac:dyDescent="0.4">
      <c r="I826" s="165"/>
    </row>
    <row r="827" spans="9:9" ht="14.6" x14ac:dyDescent="0.4">
      <c r="I827" s="165"/>
    </row>
    <row r="828" spans="9:9" ht="14.6" x14ac:dyDescent="0.4">
      <c r="I828" s="165"/>
    </row>
    <row r="829" spans="9:9" ht="14.6" x14ac:dyDescent="0.4">
      <c r="I829" s="165"/>
    </row>
    <row r="830" spans="9:9" ht="14.6" x14ac:dyDescent="0.4">
      <c r="I830" s="165"/>
    </row>
    <row r="831" spans="9:9" ht="14.6" x14ac:dyDescent="0.4">
      <c r="I831" s="165"/>
    </row>
    <row r="832" spans="9:9" ht="14.6" x14ac:dyDescent="0.4">
      <c r="I832" s="165"/>
    </row>
    <row r="833" spans="9:9" ht="14.6" x14ac:dyDescent="0.4">
      <c r="I833" s="165"/>
    </row>
    <row r="834" spans="9:9" ht="14.6" x14ac:dyDescent="0.4">
      <c r="I834" s="165"/>
    </row>
    <row r="835" spans="9:9" ht="14.6" x14ac:dyDescent="0.4">
      <c r="I835" s="165"/>
    </row>
    <row r="836" spans="9:9" ht="14.6" x14ac:dyDescent="0.4">
      <c r="I836" s="165"/>
    </row>
    <row r="837" spans="9:9" ht="14.6" x14ac:dyDescent="0.4">
      <c r="I837" s="165"/>
    </row>
    <row r="838" spans="9:9" ht="14.6" x14ac:dyDescent="0.4">
      <c r="I838" s="165"/>
    </row>
    <row r="839" spans="9:9" ht="14.6" x14ac:dyDescent="0.4">
      <c r="I839" s="165"/>
    </row>
    <row r="840" spans="9:9" ht="14.6" x14ac:dyDescent="0.4">
      <c r="I840" s="165"/>
    </row>
    <row r="841" spans="9:9" ht="14.6" x14ac:dyDescent="0.4">
      <c r="I841" s="165"/>
    </row>
    <row r="842" spans="9:9" ht="14.6" x14ac:dyDescent="0.4">
      <c r="I842" s="165"/>
    </row>
    <row r="843" spans="9:9" ht="14.6" x14ac:dyDescent="0.4">
      <c r="I843" s="165"/>
    </row>
    <row r="844" spans="9:9" ht="14.6" x14ac:dyDescent="0.4">
      <c r="I844" s="165"/>
    </row>
    <row r="845" spans="9:9" ht="14.6" x14ac:dyDescent="0.4">
      <c r="I845" s="165"/>
    </row>
    <row r="846" spans="9:9" ht="14.6" x14ac:dyDescent="0.4">
      <c r="I846" s="165"/>
    </row>
    <row r="847" spans="9:9" ht="14.6" x14ac:dyDescent="0.4">
      <c r="I847" s="165"/>
    </row>
    <row r="848" spans="9:9" ht="14.6" x14ac:dyDescent="0.4">
      <c r="I848" s="165"/>
    </row>
    <row r="849" spans="9:9" ht="14.6" x14ac:dyDescent="0.4">
      <c r="I849" s="165"/>
    </row>
    <row r="850" spans="9:9" ht="14.6" x14ac:dyDescent="0.4">
      <c r="I850" s="165"/>
    </row>
    <row r="851" spans="9:9" ht="14.6" x14ac:dyDescent="0.4">
      <c r="I851" s="165"/>
    </row>
    <row r="852" spans="9:9" ht="14.6" x14ac:dyDescent="0.4">
      <c r="I852" s="165"/>
    </row>
    <row r="853" spans="9:9" ht="14.6" x14ac:dyDescent="0.4">
      <c r="I853" s="165"/>
    </row>
    <row r="854" spans="9:9" ht="14.6" x14ac:dyDescent="0.4">
      <c r="I854" s="165"/>
    </row>
    <row r="855" spans="9:9" ht="14.6" x14ac:dyDescent="0.4">
      <c r="I855" s="165"/>
    </row>
    <row r="856" spans="9:9" ht="14.6" x14ac:dyDescent="0.4">
      <c r="I856" s="165"/>
    </row>
    <row r="857" spans="9:9" ht="14.6" x14ac:dyDescent="0.4">
      <c r="I857" s="165"/>
    </row>
    <row r="858" spans="9:9" ht="14.6" x14ac:dyDescent="0.4">
      <c r="I858" s="165"/>
    </row>
    <row r="859" spans="9:9" ht="14.6" x14ac:dyDescent="0.4">
      <c r="I859" s="165"/>
    </row>
    <row r="860" spans="9:9" ht="14.6" x14ac:dyDescent="0.4">
      <c r="I860" s="165"/>
    </row>
    <row r="861" spans="9:9" ht="14.6" x14ac:dyDescent="0.4">
      <c r="I861" s="165"/>
    </row>
    <row r="862" spans="9:9" ht="14.6" x14ac:dyDescent="0.4">
      <c r="I862" s="165"/>
    </row>
    <row r="863" spans="9:9" ht="14.6" x14ac:dyDescent="0.4">
      <c r="I863" s="165"/>
    </row>
    <row r="864" spans="9:9" ht="14.6" x14ac:dyDescent="0.4">
      <c r="I864" s="165"/>
    </row>
    <row r="865" spans="9:9" ht="14.6" x14ac:dyDescent="0.4">
      <c r="I865" s="165"/>
    </row>
    <row r="866" spans="9:9" ht="14.6" x14ac:dyDescent="0.4">
      <c r="I866" s="165"/>
    </row>
    <row r="867" spans="9:9" ht="14.6" x14ac:dyDescent="0.4">
      <c r="I867" s="165"/>
    </row>
    <row r="868" spans="9:9" ht="14.6" x14ac:dyDescent="0.4">
      <c r="I868" s="165"/>
    </row>
    <row r="869" spans="9:9" ht="14.6" x14ac:dyDescent="0.4">
      <c r="I869" s="165"/>
    </row>
    <row r="870" spans="9:9" ht="14.6" x14ac:dyDescent="0.4">
      <c r="I870" s="165"/>
    </row>
    <row r="871" spans="9:9" ht="14.6" x14ac:dyDescent="0.4">
      <c r="I871" s="165"/>
    </row>
    <row r="872" spans="9:9" ht="14.6" x14ac:dyDescent="0.4">
      <c r="I872" s="165"/>
    </row>
    <row r="873" spans="9:9" ht="14.6" x14ac:dyDescent="0.4">
      <c r="I873" s="165"/>
    </row>
    <row r="874" spans="9:9" ht="14.6" x14ac:dyDescent="0.4">
      <c r="I874" s="165"/>
    </row>
    <row r="875" spans="9:9" ht="14.6" x14ac:dyDescent="0.4">
      <c r="I875" s="165"/>
    </row>
    <row r="876" spans="9:9" ht="14.6" x14ac:dyDescent="0.4">
      <c r="I876" s="165"/>
    </row>
    <row r="877" spans="9:9" ht="14.6" x14ac:dyDescent="0.4">
      <c r="I877" s="165"/>
    </row>
    <row r="878" spans="9:9" ht="14.6" x14ac:dyDescent="0.4">
      <c r="I878" s="165"/>
    </row>
    <row r="879" spans="9:9" ht="14.6" x14ac:dyDescent="0.4">
      <c r="I879" s="165"/>
    </row>
    <row r="880" spans="9:9" ht="14.6" x14ac:dyDescent="0.4">
      <c r="I880" s="165"/>
    </row>
    <row r="881" spans="9:9" ht="14.6" x14ac:dyDescent="0.4">
      <c r="I881" s="165"/>
    </row>
    <row r="882" spans="9:9" ht="14.6" x14ac:dyDescent="0.4">
      <c r="I882" s="165"/>
    </row>
    <row r="883" spans="9:9" ht="14.6" x14ac:dyDescent="0.4">
      <c r="I883" s="165"/>
    </row>
    <row r="884" spans="9:9" ht="14.6" x14ac:dyDescent="0.4">
      <c r="I884" s="165"/>
    </row>
    <row r="885" spans="9:9" ht="14.6" x14ac:dyDescent="0.4">
      <c r="I885" s="165"/>
    </row>
    <row r="886" spans="9:9" ht="14.6" x14ac:dyDescent="0.4">
      <c r="I886" s="165"/>
    </row>
    <row r="887" spans="9:9" ht="14.6" x14ac:dyDescent="0.4">
      <c r="I887" s="165"/>
    </row>
    <row r="888" spans="9:9" ht="14.6" x14ac:dyDescent="0.4">
      <c r="I888" s="165"/>
    </row>
    <row r="889" spans="9:9" ht="14.6" x14ac:dyDescent="0.4">
      <c r="I889" s="165"/>
    </row>
    <row r="890" spans="9:9" ht="14.6" x14ac:dyDescent="0.4">
      <c r="I890" s="165"/>
    </row>
    <row r="891" spans="9:9" ht="14.6" x14ac:dyDescent="0.4">
      <c r="I891" s="165"/>
    </row>
    <row r="892" spans="9:9" ht="14.6" x14ac:dyDescent="0.4">
      <c r="I892" s="165"/>
    </row>
    <row r="893" spans="9:9" ht="14.6" x14ac:dyDescent="0.4">
      <c r="I893" s="165"/>
    </row>
    <row r="894" spans="9:9" ht="14.6" x14ac:dyDescent="0.4">
      <c r="I894" s="165"/>
    </row>
    <row r="895" spans="9:9" ht="14.6" x14ac:dyDescent="0.4">
      <c r="I895" s="165"/>
    </row>
    <row r="896" spans="9:9" ht="14.6" x14ac:dyDescent="0.4">
      <c r="I896" s="165"/>
    </row>
    <row r="897" spans="9:9" ht="14.6" x14ac:dyDescent="0.4">
      <c r="I897" s="165"/>
    </row>
    <row r="898" spans="9:9" ht="14.6" x14ac:dyDescent="0.4">
      <c r="I898" s="165"/>
    </row>
    <row r="899" spans="9:9" ht="14.6" x14ac:dyDescent="0.4">
      <c r="I899" s="165"/>
    </row>
    <row r="900" spans="9:9" ht="14.6" x14ac:dyDescent="0.4">
      <c r="I900" s="165"/>
    </row>
    <row r="901" spans="9:9" ht="14.6" x14ac:dyDescent="0.4">
      <c r="I901" s="165"/>
    </row>
    <row r="902" spans="9:9" ht="14.6" x14ac:dyDescent="0.4">
      <c r="I902" s="165"/>
    </row>
    <row r="903" spans="9:9" ht="14.6" x14ac:dyDescent="0.4">
      <c r="I903" s="165"/>
    </row>
    <row r="904" spans="9:9" ht="14.6" x14ac:dyDescent="0.4">
      <c r="I904" s="165"/>
    </row>
    <row r="905" spans="9:9" ht="14.6" x14ac:dyDescent="0.4">
      <c r="I905" s="165"/>
    </row>
    <row r="906" spans="9:9" ht="14.6" x14ac:dyDescent="0.4">
      <c r="I906" s="165"/>
    </row>
    <row r="907" spans="9:9" ht="14.6" x14ac:dyDescent="0.4">
      <c r="I907" s="165"/>
    </row>
    <row r="908" spans="9:9" ht="14.6" x14ac:dyDescent="0.4">
      <c r="I908" s="165"/>
    </row>
    <row r="909" spans="9:9" ht="14.6" x14ac:dyDescent="0.4">
      <c r="I909" s="165"/>
    </row>
    <row r="910" spans="9:9" ht="14.6" x14ac:dyDescent="0.4">
      <c r="I910" s="165"/>
    </row>
    <row r="911" spans="9:9" ht="14.6" x14ac:dyDescent="0.4">
      <c r="I911" s="165"/>
    </row>
    <row r="912" spans="9:9" ht="14.6" x14ac:dyDescent="0.4">
      <c r="I912" s="165"/>
    </row>
    <row r="913" spans="9:9" ht="14.6" x14ac:dyDescent="0.4">
      <c r="I913" s="165"/>
    </row>
    <row r="914" spans="9:9" ht="14.6" x14ac:dyDescent="0.4">
      <c r="I914" s="165"/>
    </row>
    <row r="915" spans="9:9" ht="14.6" x14ac:dyDescent="0.4">
      <c r="I915" s="165"/>
    </row>
    <row r="916" spans="9:9" ht="14.6" x14ac:dyDescent="0.4">
      <c r="I916" s="165"/>
    </row>
    <row r="917" spans="9:9" ht="14.6" x14ac:dyDescent="0.4">
      <c r="I917" s="165"/>
    </row>
    <row r="918" spans="9:9" ht="14.6" x14ac:dyDescent="0.4">
      <c r="I918" s="165"/>
    </row>
    <row r="919" spans="9:9" ht="14.6" x14ac:dyDescent="0.4">
      <c r="I919" s="165"/>
    </row>
    <row r="920" spans="9:9" ht="14.6" x14ac:dyDescent="0.4">
      <c r="I920" s="165"/>
    </row>
    <row r="921" spans="9:9" ht="14.6" x14ac:dyDescent="0.4">
      <c r="I921" s="165"/>
    </row>
    <row r="922" spans="9:9" ht="14.6" x14ac:dyDescent="0.4">
      <c r="I922" s="165"/>
    </row>
    <row r="923" spans="9:9" ht="14.6" x14ac:dyDescent="0.4">
      <c r="I923" s="165"/>
    </row>
    <row r="924" spans="9:9" ht="14.6" x14ac:dyDescent="0.4">
      <c r="I924" s="165"/>
    </row>
    <row r="925" spans="9:9" ht="14.6" x14ac:dyDescent="0.4">
      <c r="I925" s="165"/>
    </row>
    <row r="926" spans="9:9" ht="14.6" x14ac:dyDescent="0.4">
      <c r="I926" s="165"/>
    </row>
    <row r="927" spans="9:9" ht="14.6" x14ac:dyDescent="0.4">
      <c r="I927" s="165"/>
    </row>
    <row r="928" spans="9:9" ht="14.6" x14ac:dyDescent="0.4">
      <c r="I928" s="165"/>
    </row>
    <row r="929" spans="9:9" ht="14.6" x14ac:dyDescent="0.4">
      <c r="I929" s="165"/>
    </row>
    <row r="930" spans="9:9" ht="14.6" x14ac:dyDescent="0.4">
      <c r="I930" s="165"/>
    </row>
    <row r="931" spans="9:9" ht="14.6" x14ac:dyDescent="0.4">
      <c r="I931" s="165"/>
    </row>
    <row r="932" spans="9:9" ht="14.6" x14ac:dyDescent="0.4">
      <c r="I932" s="165"/>
    </row>
    <row r="933" spans="9:9" ht="14.6" x14ac:dyDescent="0.4">
      <c r="I933" s="165"/>
    </row>
    <row r="934" spans="9:9" ht="14.6" x14ac:dyDescent="0.4">
      <c r="I934" s="165"/>
    </row>
    <row r="935" spans="9:9" ht="14.6" x14ac:dyDescent="0.4">
      <c r="I935" s="165"/>
    </row>
    <row r="936" spans="9:9" ht="14.6" x14ac:dyDescent="0.4">
      <c r="I936" s="165"/>
    </row>
    <row r="937" spans="9:9" ht="14.6" x14ac:dyDescent="0.4">
      <c r="I937" s="165"/>
    </row>
    <row r="938" spans="9:9" ht="14.6" x14ac:dyDescent="0.4">
      <c r="I938" s="165"/>
    </row>
    <row r="939" spans="9:9" ht="14.6" x14ac:dyDescent="0.4">
      <c r="I939" s="165"/>
    </row>
    <row r="940" spans="9:9" ht="14.6" x14ac:dyDescent="0.4">
      <c r="I940" s="165"/>
    </row>
    <row r="941" spans="9:9" ht="14.6" x14ac:dyDescent="0.4">
      <c r="I941" s="165"/>
    </row>
    <row r="942" spans="9:9" ht="14.6" x14ac:dyDescent="0.4">
      <c r="I942" s="165"/>
    </row>
    <row r="943" spans="9:9" ht="14.6" x14ac:dyDescent="0.4">
      <c r="I943" s="165"/>
    </row>
    <row r="944" spans="9:9" ht="14.6" x14ac:dyDescent="0.4">
      <c r="I944" s="165"/>
    </row>
    <row r="945" spans="9:9" ht="14.6" x14ac:dyDescent="0.4">
      <c r="I945" s="165"/>
    </row>
    <row r="946" spans="9:9" ht="14.6" x14ac:dyDescent="0.4">
      <c r="I946" s="165"/>
    </row>
    <row r="947" spans="9:9" ht="14.6" x14ac:dyDescent="0.4">
      <c r="I947" s="165"/>
    </row>
    <row r="948" spans="9:9" ht="14.6" x14ac:dyDescent="0.4">
      <c r="I948" s="165"/>
    </row>
    <row r="949" spans="9:9" ht="14.6" x14ac:dyDescent="0.4">
      <c r="I949" s="165"/>
    </row>
    <row r="950" spans="9:9" ht="14.6" x14ac:dyDescent="0.4">
      <c r="I950" s="165"/>
    </row>
    <row r="951" spans="9:9" ht="14.6" x14ac:dyDescent="0.4">
      <c r="I951" s="165"/>
    </row>
    <row r="952" spans="9:9" ht="14.6" x14ac:dyDescent="0.4">
      <c r="I952" s="165"/>
    </row>
    <row r="953" spans="9:9" ht="14.6" x14ac:dyDescent="0.4">
      <c r="I953" s="165"/>
    </row>
    <row r="954" spans="9:9" ht="14.6" x14ac:dyDescent="0.4">
      <c r="I954" s="165"/>
    </row>
    <row r="955" spans="9:9" ht="14.6" x14ac:dyDescent="0.4">
      <c r="I955" s="165"/>
    </row>
    <row r="956" spans="9:9" ht="14.6" x14ac:dyDescent="0.4">
      <c r="I956" s="165"/>
    </row>
    <row r="957" spans="9:9" ht="14.6" x14ac:dyDescent="0.4">
      <c r="I957" s="165"/>
    </row>
    <row r="958" spans="9:9" ht="14.6" x14ac:dyDescent="0.4">
      <c r="I958" s="165"/>
    </row>
    <row r="959" spans="9:9" ht="14.6" x14ac:dyDescent="0.4">
      <c r="I959" s="165"/>
    </row>
    <row r="960" spans="9:9" ht="14.6" x14ac:dyDescent="0.4">
      <c r="I960" s="165"/>
    </row>
    <row r="961" spans="9:9" ht="14.6" x14ac:dyDescent="0.4">
      <c r="I961" s="165"/>
    </row>
    <row r="962" spans="9:9" ht="14.6" x14ac:dyDescent="0.4">
      <c r="I962" s="165"/>
    </row>
    <row r="963" spans="9:9" ht="14.6" x14ac:dyDescent="0.4">
      <c r="I963" s="165"/>
    </row>
    <row r="964" spans="9:9" ht="14.6" x14ac:dyDescent="0.4">
      <c r="I964" s="165"/>
    </row>
    <row r="965" spans="9:9" ht="14.6" x14ac:dyDescent="0.4">
      <c r="I965" s="165"/>
    </row>
    <row r="966" spans="9:9" ht="14.6" x14ac:dyDescent="0.4">
      <c r="I966" s="165"/>
    </row>
    <row r="967" spans="9:9" ht="14.6" x14ac:dyDescent="0.4">
      <c r="I967" s="165"/>
    </row>
    <row r="968" spans="9:9" ht="14.6" x14ac:dyDescent="0.4">
      <c r="I968" s="165"/>
    </row>
    <row r="969" spans="9:9" ht="14.6" x14ac:dyDescent="0.4">
      <c r="I969" s="165"/>
    </row>
    <row r="970" spans="9:9" ht="14.6" x14ac:dyDescent="0.4">
      <c r="I970" s="165"/>
    </row>
    <row r="971" spans="9:9" ht="14.6" x14ac:dyDescent="0.4">
      <c r="I971" s="165"/>
    </row>
    <row r="972" spans="9:9" ht="14.6" x14ac:dyDescent="0.4">
      <c r="I972" s="165"/>
    </row>
    <row r="973" spans="9:9" ht="14.6" x14ac:dyDescent="0.4">
      <c r="I973" s="165"/>
    </row>
    <row r="974" spans="9:9" ht="14.6" x14ac:dyDescent="0.4">
      <c r="I974" s="165"/>
    </row>
    <row r="975" spans="9:9" ht="14.6" x14ac:dyDescent="0.4">
      <c r="I975" s="165"/>
    </row>
    <row r="976" spans="9:9" ht="14.6" x14ac:dyDescent="0.4">
      <c r="I976" s="165"/>
    </row>
    <row r="977" spans="9:9" ht="14.6" x14ac:dyDescent="0.4">
      <c r="I977" s="165"/>
    </row>
    <row r="978" spans="9:9" ht="14.6" x14ac:dyDescent="0.4">
      <c r="I978" s="165"/>
    </row>
    <row r="979" spans="9:9" ht="14.6" x14ac:dyDescent="0.4">
      <c r="I979" s="165"/>
    </row>
    <row r="980" spans="9:9" ht="14.6" x14ac:dyDescent="0.4">
      <c r="I980" s="165"/>
    </row>
    <row r="981" spans="9:9" ht="14.6" x14ac:dyDescent="0.4">
      <c r="I981" s="165"/>
    </row>
    <row r="982" spans="9:9" ht="14.6" x14ac:dyDescent="0.4">
      <c r="I982" s="165"/>
    </row>
    <row r="983" spans="9:9" ht="14.6" x14ac:dyDescent="0.4">
      <c r="I983" s="165"/>
    </row>
    <row r="984" spans="9:9" ht="14.6" x14ac:dyDescent="0.4">
      <c r="I984" s="165"/>
    </row>
    <row r="985" spans="9:9" ht="14.6" x14ac:dyDescent="0.4">
      <c r="I985" s="165"/>
    </row>
    <row r="986" spans="9:9" ht="14.6" x14ac:dyDescent="0.4">
      <c r="I986" s="165"/>
    </row>
    <row r="987" spans="9:9" ht="14.6" x14ac:dyDescent="0.4">
      <c r="I987" s="165"/>
    </row>
    <row r="988" spans="9:9" ht="14.6" x14ac:dyDescent="0.4">
      <c r="I988" s="165"/>
    </row>
    <row r="989" spans="9:9" ht="14.6" x14ac:dyDescent="0.4">
      <c r="I989" s="165"/>
    </row>
    <row r="990" spans="9:9" ht="14.6" x14ac:dyDescent="0.4">
      <c r="I990" s="165"/>
    </row>
    <row r="991" spans="9:9" ht="14.6" x14ac:dyDescent="0.4">
      <c r="I991" s="165"/>
    </row>
    <row r="992" spans="9:9" ht="14.6" x14ac:dyDescent="0.4">
      <c r="I992" s="165"/>
    </row>
    <row r="993" spans="9:9" ht="14.6" x14ac:dyDescent="0.4">
      <c r="I993" s="165"/>
    </row>
    <row r="994" spans="9:9" ht="14.6" x14ac:dyDescent="0.4">
      <c r="I994" s="165"/>
    </row>
    <row r="995" spans="9:9" ht="14.6" x14ac:dyDescent="0.4">
      <c r="I995" s="165"/>
    </row>
    <row r="996" spans="9:9" ht="14.6" x14ac:dyDescent="0.4">
      <c r="I996" s="165"/>
    </row>
    <row r="997" spans="9:9" ht="14.6" x14ac:dyDescent="0.4">
      <c r="I997" s="165"/>
    </row>
    <row r="998" spans="9:9" ht="14.6" x14ac:dyDescent="0.4">
      <c r="I998" s="165"/>
    </row>
    <row r="999" spans="9:9" ht="14.6" x14ac:dyDescent="0.4">
      <c r="I999" s="165"/>
    </row>
    <row r="1000" spans="9:9" ht="14.6" x14ac:dyDescent="0.4">
      <c r="I1000" s="165"/>
    </row>
  </sheetData>
  <mergeCells count="2">
    <mergeCell ref="A59:H59"/>
    <mergeCell ref="A63:H63"/>
  </mergeCells>
  <conditionalFormatting sqref="D9">
    <cfRule type="cellIs" dxfId="104" priority="28" operator="lessThan">
      <formula>0</formula>
    </cfRule>
    <cfRule type="cellIs" dxfId="103" priority="29" operator="greaterThan">
      <formula>0</formula>
    </cfRule>
    <cfRule type="cellIs" dxfId="102" priority="30" operator="equal">
      <formula>0</formula>
    </cfRule>
  </conditionalFormatting>
  <conditionalFormatting sqref="D32">
    <cfRule type="cellIs" dxfId="101" priority="10" operator="lessThan">
      <formula>0</formula>
    </cfRule>
    <cfRule type="cellIs" dxfId="100" priority="11" operator="greaterThan">
      <formula>0</formula>
    </cfRule>
    <cfRule type="cellIs" dxfId="99" priority="12" operator="equal">
      <formula>0</formula>
    </cfRule>
  </conditionalFormatting>
  <conditionalFormatting sqref="D41 D53 D57 D61 D75 D77">
    <cfRule type="cellIs" dxfId="98" priority="4" operator="lessThan">
      <formula>0</formula>
    </cfRule>
    <cfRule type="cellIs" dxfId="97" priority="5" operator="greaterThan">
      <formula>0</formula>
    </cfRule>
    <cfRule type="cellIs" dxfId="96" priority="6" operator="equal">
      <formula>0</formula>
    </cfRule>
  </conditionalFormatting>
  <conditionalFormatting sqref="E2:E1048576">
    <cfRule type="expression" dxfId="95" priority="1">
      <formula>E2&lt;H2</formula>
    </cfRule>
    <cfRule type="expression" dxfId="94" priority="2">
      <formula>E2&gt;H2</formula>
    </cfRule>
    <cfRule type="expression" dxfId="93" priority="3">
      <formula>E2=H2</formula>
    </cfRule>
  </conditionalFormatting>
  <printOptions horizontalCentered="1"/>
  <pageMargins left="0.45" right="0.45" top="0.75" bottom="0.25" header="0.4" footer="0"/>
  <pageSetup scale="84" fitToHeight="0" orientation="landscape" r:id="rId1"/>
  <headerFooter>
    <oddHeader>&amp;C &amp;"Calibri,Bold"&amp;20 2019 Budget Requested - 3% Personnel</oddHeader>
  </headerFooter>
  <rowBreaks count="2" manualBreakCount="2">
    <brk id="33" max="7" man="1"/>
    <brk id="62" max="7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H152"/>
  <sheetViews>
    <sheetView workbookViewId="0">
      <pane xSplit="1" ySplit="1" topLeftCell="B118" activePane="bottomRight" state="frozenSplit"/>
      <selection pane="topRight" activeCell="D1" sqref="D1"/>
      <selection pane="bottomLeft" activeCell="A2" sqref="A2"/>
      <selection pane="bottomRight" activeCell="F150" sqref="F150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6.3828125" style="861" bestFit="1" customWidth="1"/>
    <col min="4" max="5" width="30.69140625" style="861" customWidth="1"/>
    <col min="6" max="6" width="11.69140625" style="861" bestFit="1" customWidth="1"/>
  </cols>
  <sheetData>
    <row r="1" spans="1:7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7" thickTop="1" x14ac:dyDescent="0.4">
      <c r="A2" s="854"/>
      <c r="B2" s="855"/>
      <c r="C2" s="854"/>
      <c r="D2" s="854"/>
      <c r="E2" s="854"/>
      <c r="F2" s="856"/>
    </row>
    <row r="3" spans="1:7" ht="14.6" x14ac:dyDescent="0.4">
      <c r="A3" s="854"/>
      <c r="B3" s="855"/>
      <c r="C3" s="854"/>
      <c r="D3" s="854"/>
      <c r="E3" s="854"/>
      <c r="F3" s="856"/>
    </row>
    <row r="4" spans="1:7" ht="14.6" x14ac:dyDescent="0.4">
      <c r="A4" s="854" t="s">
        <v>576</v>
      </c>
      <c r="B4" s="855">
        <v>43466</v>
      </c>
      <c r="C4" s="854" t="s">
        <v>1008</v>
      </c>
      <c r="D4" s="854" t="s">
        <v>551</v>
      </c>
      <c r="E4" s="854" t="s">
        <v>1032</v>
      </c>
      <c r="F4" s="856">
        <v>4200</v>
      </c>
    </row>
    <row r="5" spans="1:7" ht="14.6" x14ac:dyDescent="0.4">
      <c r="A5" s="854" t="s">
        <v>576</v>
      </c>
      <c r="B5" s="855">
        <v>43469</v>
      </c>
      <c r="C5" s="854" t="s">
        <v>1009</v>
      </c>
      <c r="D5" s="854" t="s">
        <v>1024</v>
      </c>
      <c r="E5" s="854" t="s">
        <v>1033</v>
      </c>
      <c r="F5" s="856">
        <v>5000</v>
      </c>
    </row>
    <row r="6" spans="1:7" ht="14.6" x14ac:dyDescent="0.4">
      <c r="A6" s="854" t="s">
        <v>576</v>
      </c>
      <c r="B6" s="855">
        <v>43474</v>
      </c>
      <c r="C6" s="854" t="s">
        <v>1010</v>
      </c>
      <c r="D6" s="854" t="s">
        <v>1025</v>
      </c>
      <c r="E6" s="854" t="s">
        <v>1034</v>
      </c>
      <c r="F6" s="856">
        <v>350</v>
      </c>
    </row>
    <row r="7" spans="1:7" ht="14.6" x14ac:dyDescent="0.4">
      <c r="A7" s="854" t="s">
        <v>576</v>
      </c>
      <c r="B7" s="855">
        <v>43493</v>
      </c>
      <c r="C7" s="854" t="s">
        <v>1011</v>
      </c>
      <c r="D7" s="854" t="s">
        <v>1026</v>
      </c>
      <c r="E7" s="854" t="s">
        <v>1035</v>
      </c>
      <c r="F7" s="856">
        <v>197817</v>
      </c>
    </row>
    <row r="8" spans="1:7" ht="14.6" x14ac:dyDescent="0.4">
      <c r="A8" s="854" t="s">
        <v>576</v>
      </c>
      <c r="B8" s="855">
        <v>43496</v>
      </c>
      <c r="C8" s="854" t="s">
        <v>1012</v>
      </c>
      <c r="D8" s="854" t="s">
        <v>1027</v>
      </c>
      <c r="E8" s="854" t="s">
        <v>1036</v>
      </c>
      <c r="F8" s="856">
        <v>105</v>
      </c>
    </row>
    <row r="9" spans="1:7" ht="14.6" x14ac:dyDescent="0.4">
      <c r="A9" s="854" t="s">
        <v>576</v>
      </c>
      <c r="B9" s="855">
        <v>43496</v>
      </c>
      <c r="C9" s="854" t="s">
        <v>1013</v>
      </c>
      <c r="D9" s="854" t="s">
        <v>1853</v>
      </c>
      <c r="E9" s="854" t="s">
        <v>1037</v>
      </c>
      <c r="F9" s="856">
        <v>832.5</v>
      </c>
    </row>
    <row r="10" spans="1:7" ht="14.6" x14ac:dyDescent="0.4">
      <c r="A10" s="854" t="s">
        <v>576</v>
      </c>
      <c r="B10" s="855">
        <v>43496</v>
      </c>
      <c r="C10" s="854" t="s">
        <v>1014</v>
      </c>
      <c r="D10" s="854" t="s">
        <v>1024</v>
      </c>
      <c r="E10" s="854" t="s">
        <v>1033</v>
      </c>
      <c r="F10" s="856">
        <v>5000</v>
      </c>
    </row>
    <row r="11" spans="1:7" ht="14.6" x14ac:dyDescent="0.4">
      <c r="A11" s="854" t="s">
        <v>576</v>
      </c>
      <c r="B11" s="855">
        <v>43496</v>
      </c>
      <c r="C11" s="854" t="s">
        <v>1015</v>
      </c>
      <c r="D11" s="854" t="s">
        <v>1024</v>
      </c>
      <c r="E11" s="854" t="s">
        <v>1038</v>
      </c>
      <c r="F11" s="856">
        <v>812.5</v>
      </c>
    </row>
    <row r="12" spans="1:7" ht="14.6" x14ac:dyDescent="0.4">
      <c r="A12" s="854" t="s">
        <v>576</v>
      </c>
      <c r="B12" s="855">
        <v>43497</v>
      </c>
      <c r="C12" s="854" t="s">
        <v>710</v>
      </c>
      <c r="D12" s="854" t="s">
        <v>1028</v>
      </c>
      <c r="E12" s="854" t="s">
        <v>1039</v>
      </c>
      <c r="F12" s="856">
        <v>632.5</v>
      </c>
    </row>
    <row r="13" spans="1:7" ht="14.6" x14ac:dyDescent="0.4">
      <c r="A13" s="854" t="s">
        <v>576</v>
      </c>
      <c r="B13" s="855">
        <v>43516</v>
      </c>
      <c r="C13" s="854" t="s">
        <v>1016</v>
      </c>
      <c r="D13" s="854" t="s">
        <v>1029</v>
      </c>
      <c r="E13" s="854" t="s">
        <v>1040</v>
      </c>
      <c r="F13" s="856">
        <v>6000</v>
      </c>
    </row>
    <row r="14" spans="1:7" ht="14.6" x14ac:dyDescent="0.4">
      <c r="A14" s="854" t="s">
        <v>576</v>
      </c>
      <c r="B14" s="855">
        <v>43516</v>
      </c>
      <c r="C14" s="854" t="s">
        <v>1017</v>
      </c>
      <c r="D14" s="854" t="s">
        <v>749</v>
      </c>
      <c r="E14" s="854" t="s">
        <v>1555</v>
      </c>
      <c r="G14" s="856">
        <v>6080</v>
      </c>
    </row>
    <row r="15" spans="1:7" ht="14.6" x14ac:dyDescent="0.4">
      <c r="A15" s="854" t="s">
        <v>576</v>
      </c>
      <c r="B15" s="855">
        <v>43518</v>
      </c>
      <c r="C15" s="854" t="s">
        <v>1360</v>
      </c>
      <c r="D15" s="854" t="s">
        <v>1383</v>
      </c>
      <c r="E15" s="854" t="s">
        <v>1391</v>
      </c>
      <c r="F15" s="856">
        <v>4000</v>
      </c>
    </row>
    <row r="16" spans="1:7" ht="14.6" x14ac:dyDescent="0.4">
      <c r="A16" s="854" t="s">
        <v>576</v>
      </c>
      <c r="B16" s="855">
        <v>43518</v>
      </c>
      <c r="C16" s="854" t="s">
        <v>1361</v>
      </c>
      <c r="D16" s="854" t="s">
        <v>1383</v>
      </c>
      <c r="E16" s="854" t="s">
        <v>1392</v>
      </c>
      <c r="F16" s="856">
        <v>2000</v>
      </c>
    </row>
    <row r="17" spans="1:7" ht="14.6" x14ac:dyDescent="0.4">
      <c r="A17" s="854" t="s">
        <v>576</v>
      </c>
      <c r="B17" s="855">
        <v>43521</v>
      </c>
      <c r="C17" s="854" t="s">
        <v>1018</v>
      </c>
      <c r="D17" s="854" t="s">
        <v>1030</v>
      </c>
      <c r="E17" s="854" t="s">
        <v>1041</v>
      </c>
      <c r="F17" s="856">
        <v>8564.24</v>
      </c>
    </row>
    <row r="18" spans="1:7" ht="14.6" x14ac:dyDescent="0.4">
      <c r="A18" s="854" t="s">
        <v>576</v>
      </c>
      <c r="B18" s="855">
        <v>43524</v>
      </c>
      <c r="C18" s="854" t="s">
        <v>1019</v>
      </c>
      <c r="D18" s="854" t="s">
        <v>1031</v>
      </c>
      <c r="E18" s="854" t="s">
        <v>1042</v>
      </c>
      <c r="F18" s="856">
        <v>75</v>
      </c>
    </row>
    <row r="19" spans="1:7" ht="14.6" x14ac:dyDescent="0.4">
      <c r="A19" s="854" t="s">
        <v>576</v>
      </c>
      <c r="B19" s="855">
        <v>43524</v>
      </c>
      <c r="C19" s="854" t="s">
        <v>1362</v>
      </c>
      <c r="D19" s="854" t="s">
        <v>1853</v>
      </c>
      <c r="E19" s="854" t="s">
        <v>1037</v>
      </c>
      <c r="F19" s="856">
        <v>370</v>
      </c>
    </row>
    <row r="20" spans="1:7" ht="14.6" x14ac:dyDescent="0.4">
      <c r="A20" s="854" t="s">
        <v>576</v>
      </c>
      <c r="B20" s="855">
        <v>43525</v>
      </c>
      <c r="C20" s="854" t="s">
        <v>1020</v>
      </c>
      <c r="D20" s="854" t="s">
        <v>551</v>
      </c>
      <c r="E20" s="854" t="s">
        <v>1556</v>
      </c>
      <c r="G20" s="856">
        <v>21144</v>
      </c>
    </row>
    <row r="21" spans="1:7" ht="14.6" x14ac:dyDescent="0.4">
      <c r="A21" s="854" t="s">
        <v>576</v>
      </c>
      <c r="B21" s="855">
        <v>43525</v>
      </c>
      <c r="C21" s="854" t="s">
        <v>1021</v>
      </c>
      <c r="D21" s="854" t="s">
        <v>1028</v>
      </c>
      <c r="E21" s="854" t="s">
        <v>1039</v>
      </c>
      <c r="F21" s="856">
        <v>6528.75</v>
      </c>
    </row>
    <row r="22" spans="1:7" ht="14.6" x14ac:dyDescent="0.4">
      <c r="A22" s="854" t="s">
        <v>576</v>
      </c>
      <c r="B22" s="855">
        <v>43525</v>
      </c>
      <c r="C22" s="854" t="s">
        <v>1022</v>
      </c>
      <c r="D22" s="854" t="s">
        <v>1028</v>
      </c>
      <c r="E22" s="854" t="s">
        <v>1039</v>
      </c>
      <c r="F22" s="856">
        <v>142.5</v>
      </c>
    </row>
    <row r="23" spans="1:7" ht="14.6" x14ac:dyDescent="0.4">
      <c r="A23" s="854" t="s">
        <v>576</v>
      </c>
      <c r="B23" s="855">
        <v>43527</v>
      </c>
      <c r="C23" s="854" t="s">
        <v>1023</v>
      </c>
      <c r="D23" s="854" t="s">
        <v>1024</v>
      </c>
      <c r="E23" s="854" t="s">
        <v>1033</v>
      </c>
      <c r="F23" s="856">
        <v>5000</v>
      </c>
    </row>
    <row r="24" spans="1:7" ht="14.6" x14ac:dyDescent="0.4">
      <c r="A24" s="854" t="s">
        <v>576</v>
      </c>
      <c r="B24" s="855">
        <v>43529</v>
      </c>
      <c r="C24" s="854" t="s">
        <v>1363</v>
      </c>
      <c r="D24" s="854" t="s">
        <v>1025</v>
      </c>
      <c r="E24" s="854" t="s">
        <v>1393</v>
      </c>
      <c r="F24" s="856">
        <v>350</v>
      </c>
    </row>
    <row r="25" spans="1:7" ht="14.6" x14ac:dyDescent="0.4">
      <c r="A25" s="854" t="s">
        <v>576</v>
      </c>
      <c r="B25" s="855">
        <v>43535</v>
      </c>
      <c r="C25" s="854" t="s">
        <v>1364</v>
      </c>
      <c r="D25" s="854" t="s">
        <v>1384</v>
      </c>
      <c r="E25" s="854" t="s">
        <v>1394</v>
      </c>
      <c r="F25" s="856">
        <v>450</v>
      </c>
    </row>
    <row r="26" spans="1:7" ht="14.6" x14ac:dyDescent="0.4">
      <c r="A26" s="854" t="s">
        <v>576</v>
      </c>
      <c r="B26" s="855">
        <v>43535</v>
      </c>
      <c r="C26" s="854" t="s">
        <v>1364</v>
      </c>
      <c r="D26" s="854" t="s">
        <v>1384</v>
      </c>
      <c r="E26" s="854" t="s">
        <v>1395</v>
      </c>
      <c r="F26" s="856">
        <v>450</v>
      </c>
    </row>
    <row r="27" spans="1:7" ht="14.6" x14ac:dyDescent="0.4">
      <c r="A27" s="854" t="s">
        <v>576</v>
      </c>
      <c r="B27" s="855">
        <v>43535</v>
      </c>
      <c r="C27" s="854" t="s">
        <v>1364</v>
      </c>
      <c r="D27" s="854" t="s">
        <v>1384</v>
      </c>
      <c r="E27" s="854" t="s">
        <v>1396</v>
      </c>
      <c r="F27" s="856">
        <v>450</v>
      </c>
    </row>
    <row r="28" spans="1:7" ht="14.6" x14ac:dyDescent="0.4">
      <c r="A28" s="854" t="s">
        <v>576</v>
      </c>
      <c r="B28" s="855">
        <v>43535</v>
      </c>
      <c r="C28" s="854" t="s">
        <v>1365</v>
      </c>
      <c r="D28" s="854" t="s">
        <v>1385</v>
      </c>
      <c r="E28" s="854" t="s">
        <v>1397</v>
      </c>
      <c r="F28" s="856">
        <v>450</v>
      </c>
    </row>
    <row r="29" spans="1:7" ht="14.6" x14ac:dyDescent="0.4">
      <c r="A29" s="854" t="s">
        <v>576</v>
      </c>
      <c r="B29" s="855">
        <v>43535</v>
      </c>
      <c r="C29" s="854" t="s">
        <v>1366</v>
      </c>
      <c r="D29" s="854" t="s">
        <v>1385</v>
      </c>
      <c r="E29" s="854" t="s">
        <v>1398</v>
      </c>
      <c r="F29" s="856">
        <v>450</v>
      </c>
    </row>
    <row r="30" spans="1:7" ht="14.6" x14ac:dyDescent="0.4">
      <c r="A30" s="854" t="s">
        <v>576</v>
      </c>
      <c r="B30" s="855">
        <v>43535</v>
      </c>
      <c r="C30" s="854" t="s">
        <v>1367</v>
      </c>
      <c r="D30" s="854" t="s">
        <v>1385</v>
      </c>
      <c r="E30" s="854" t="s">
        <v>1399</v>
      </c>
      <c r="F30" s="856">
        <v>450</v>
      </c>
    </row>
    <row r="31" spans="1:7" ht="14.6" x14ac:dyDescent="0.4">
      <c r="A31" s="854" t="s">
        <v>576</v>
      </c>
      <c r="B31" s="855">
        <v>43535</v>
      </c>
      <c r="C31" s="854" t="s">
        <v>1368</v>
      </c>
      <c r="D31" s="854" t="s">
        <v>1385</v>
      </c>
      <c r="E31" s="854" t="s">
        <v>1400</v>
      </c>
      <c r="F31" s="856">
        <v>450</v>
      </c>
    </row>
    <row r="32" spans="1:7" ht="14.6" x14ac:dyDescent="0.4">
      <c r="A32" s="854" t="s">
        <v>576</v>
      </c>
      <c r="B32" s="855">
        <v>43535</v>
      </c>
      <c r="C32" s="854" t="s">
        <v>1369</v>
      </c>
      <c r="D32" s="854" t="s">
        <v>1385</v>
      </c>
      <c r="E32" s="854" t="s">
        <v>1401</v>
      </c>
      <c r="F32" s="856">
        <v>450</v>
      </c>
    </row>
    <row r="33" spans="1:7" ht="14.6" x14ac:dyDescent="0.4">
      <c r="A33" s="854" t="s">
        <v>576</v>
      </c>
      <c r="B33" s="855">
        <v>43538</v>
      </c>
      <c r="C33" s="854" t="s">
        <v>1370</v>
      </c>
      <c r="D33" s="854" t="s">
        <v>1026</v>
      </c>
      <c r="E33" s="854" t="s">
        <v>1402</v>
      </c>
      <c r="F33" s="856">
        <v>65280.29</v>
      </c>
    </row>
    <row r="34" spans="1:7" ht="14.6" x14ac:dyDescent="0.4">
      <c r="A34" s="854" t="s">
        <v>576</v>
      </c>
      <c r="B34" s="855">
        <v>43538</v>
      </c>
      <c r="C34" s="854" t="s">
        <v>1370</v>
      </c>
      <c r="D34" s="854" t="s">
        <v>1026</v>
      </c>
      <c r="E34" s="854" t="s">
        <v>1403</v>
      </c>
      <c r="F34" s="856">
        <v>1000</v>
      </c>
    </row>
    <row r="35" spans="1:7" ht="14.6" x14ac:dyDescent="0.4">
      <c r="A35" s="854" t="s">
        <v>576</v>
      </c>
      <c r="B35" s="855">
        <v>43539</v>
      </c>
      <c r="C35" s="854" t="s">
        <v>1371</v>
      </c>
      <c r="D35" s="854" t="s">
        <v>1386</v>
      </c>
      <c r="E35" s="854" t="s">
        <v>1404</v>
      </c>
      <c r="F35" s="856">
        <v>18000</v>
      </c>
    </row>
    <row r="36" spans="1:7" ht="14.6" x14ac:dyDescent="0.4">
      <c r="A36" s="854" t="s">
        <v>576</v>
      </c>
      <c r="B36" s="855">
        <v>43539</v>
      </c>
      <c r="C36" s="854" t="s">
        <v>1371</v>
      </c>
      <c r="D36" s="854" t="s">
        <v>1386</v>
      </c>
      <c r="E36" s="854" t="s">
        <v>1405</v>
      </c>
      <c r="F36" s="856">
        <v>9000</v>
      </c>
    </row>
    <row r="37" spans="1:7" ht="14.6" x14ac:dyDescent="0.4">
      <c r="A37" s="854" t="s">
        <v>576</v>
      </c>
      <c r="B37" s="855">
        <v>43542</v>
      </c>
      <c r="C37" s="854" t="s">
        <v>1372</v>
      </c>
      <c r="D37" s="854" t="s">
        <v>1026</v>
      </c>
      <c r="E37" s="854" t="s">
        <v>2019</v>
      </c>
      <c r="F37" s="856">
        <v>1500</v>
      </c>
    </row>
    <row r="38" spans="1:7" ht="14.6" x14ac:dyDescent="0.4">
      <c r="A38" s="854" t="s">
        <v>576</v>
      </c>
      <c r="B38" s="855">
        <v>43545</v>
      </c>
      <c r="C38" s="854" t="s">
        <v>1373</v>
      </c>
      <c r="D38" s="854" t="s">
        <v>1387</v>
      </c>
      <c r="E38" s="854" t="s">
        <v>1554</v>
      </c>
      <c r="G38" s="856">
        <v>318920</v>
      </c>
    </row>
    <row r="39" spans="1:7" ht="14.6" x14ac:dyDescent="0.4">
      <c r="A39" s="854" t="s">
        <v>576</v>
      </c>
      <c r="B39" s="855">
        <v>43548</v>
      </c>
      <c r="C39" s="854" t="s">
        <v>1374</v>
      </c>
      <c r="D39" s="854" t="s">
        <v>1024</v>
      </c>
      <c r="E39" s="854" t="s">
        <v>1033</v>
      </c>
      <c r="F39" s="856">
        <v>5000</v>
      </c>
    </row>
    <row r="40" spans="1:7" ht="14.6" x14ac:dyDescent="0.4">
      <c r="A40" s="854" t="s">
        <v>576</v>
      </c>
      <c r="B40" s="855">
        <v>43555</v>
      </c>
      <c r="C40" s="854" t="s">
        <v>1375</v>
      </c>
      <c r="D40" s="854" t="s">
        <v>1853</v>
      </c>
      <c r="E40" s="854" t="s">
        <v>1037</v>
      </c>
      <c r="F40" s="856">
        <v>185</v>
      </c>
    </row>
    <row r="41" spans="1:7" ht="14.6" x14ac:dyDescent="0.4">
      <c r="A41" s="854" t="s">
        <v>576</v>
      </c>
      <c r="B41" s="855">
        <v>43556</v>
      </c>
      <c r="C41" s="854" t="s">
        <v>1376</v>
      </c>
      <c r="D41" s="854" t="s">
        <v>551</v>
      </c>
      <c r="E41" s="854" t="s">
        <v>1032</v>
      </c>
      <c r="F41" s="856">
        <v>4200</v>
      </c>
    </row>
    <row r="42" spans="1:7" ht="14.6" x14ac:dyDescent="0.4">
      <c r="A42" s="854" t="s">
        <v>576</v>
      </c>
      <c r="B42" s="855">
        <v>43556</v>
      </c>
      <c r="C42" s="854" t="s">
        <v>1377</v>
      </c>
      <c r="D42" s="854" t="s">
        <v>1388</v>
      </c>
      <c r="E42" s="854" t="s">
        <v>1406</v>
      </c>
      <c r="F42" s="856">
        <v>19012.5</v>
      </c>
    </row>
    <row r="43" spans="1:7" ht="14.6" x14ac:dyDescent="0.4">
      <c r="A43" s="854" t="s">
        <v>576</v>
      </c>
      <c r="B43" s="855">
        <v>43556</v>
      </c>
      <c r="C43" s="854" t="s">
        <v>1378</v>
      </c>
      <c r="D43" s="854" t="s">
        <v>1028</v>
      </c>
      <c r="E43" s="854" t="s">
        <v>1407</v>
      </c>
      <c r="F43" s="856">
        <v>3312.77</v>
      </c>
    </row>
    <row r="44" spans="1:7" ht="14.6" x14ac:dyDescent="0.4">
      <c r="A44" s="854" t="s">
        <v>576</v>
      </c>
      <c r="B44" s="855">
        <v>43556</v>
      </c>
      <c r="C44" s="854" t="s">
        <v>1237</v>
      </c>
      <c r="D44" s="854" t="s">
        <v>1028</v>
      </c>
      <c r="E44" s="854" t="s">
        <v>1408</v>
      </c>
      <c r="F44" s="856">
        <v>550</v>
      </c>
    </row>
    <row r="45" spans="1:7" ht="14.6" x14ac:dyDescent="0.4">
      <c r="A45" s="854" t="s">
        <v>576</v>
      </c>
      <c r="B45" s="855">
        <v>43556</v>
      </c>
      <c r="C45" s="854" t="s">
        <v>1379</v>
      </c>
      <c r="D45" s="854" t="s">
        <v>1030</v>
      </c>
      <c r="E45" s="854" t="s">
        <v>1409</v>
      </c>
      <c r="F45" s="856">
        <v>6312.85</v>
      </c>
    </row>
    <row r="46" spans="1:7" ht="14.6" x14ac:dyDescent="0.4">
      <c r="A46" s="854" t="s">
        <v>576</v>
      </c>
      <c r="B46" s="855">
        <v>43558</v>
      </c>
      <c r="C46" s="854" t="s">
        <v>1380</v>
      </c>
      <c r="D46" s="854" t="s">
        <v>1389</v>
      </c>
      <c r="E46" s="854" t="s">
        <v>1410</v>
      </c>
      <c r="F46" s="856">
        <v>1040</v>
      </c>
    </row>
    <row r="47" spans="1:7" ht="14.6" x14ac:dyDescent="0.4">
      <c r="A47" s="854" t="s">
        <v>576</v>
      </c>
      <c r="B47" s="855">
        <v>43559</v>
      </c>
      <c r="C47" s="854" t="s">
        <v>1381</v>
      </c>
      <c r="D47" s="854" t="s">
        <v>1385</v>
      </c>
      <c r="E47" s="854" t="s">
        <v>1411</v>
      </c>
      <c r="F47" s="856">
        <v>1500</v>
      </c>
    </row>
    <row r="48" spans="1:7" ht="14.6" x14ac:dyDescent="0.4">
      <c r="A48" s="854" t="s">
        <v>576</v>
      </c>
      <c r="B48" s="855">
        <v>43572</v>
      </c>
      <c r="C48" s="854" t="s">
        <v>1382</v>
      </c>
      <c r="D48" s="854" t="s">
        <v>1390</v>
      </c>
      <c r="E48" s="854" t="s">
        <v>1042</v>
      </c>
      <c r="F48" s="856">
        <v>75</v>
      </c>
    </row>
    <row r="49" spans="1:6" ht="14.6" x14ac:dyDescent="0.4">
      <c r="A49" s="854" t="s">
        <v>576</v>
      </c>
      <c r="B49" s="855">
        <v>43573</v>
      </c>
      <c r="C49" s="854" t="s">
        <v>1521</v>
      </c>
      <c r="D49" s="854" t="s">
        <v>1527</v>
      </c>
      <c r="E49" s="854" t="s">
        <v>1529</v>
      </c>
      <c r="F49" s="856">
        <v>5950</v>
      </c>
    </row>
    <row r="50" spans="1:6" ht="14.6" x14ac:dyDescent="0.4">
      <c r="A50" s="854" t="s">
        <v>576</v>
      </c>
      <c r="B50" s="855">
        <v>43573</v>
      </c>
      <c r="C50" s="854" t="s">
        <v>1522</v>
      </c>
      <c r="D50" s="854" t="s">
        <v>1386</v>
      </c>
      <c r="E50" s="854" t="s">
        <v>1530</v>
      </c>
      <c r="F50" s="856">
        <v>1500</v>
      </c>
    </row>
    <row r="51" spans="1:6" ht="14.6" x14ac:dyDescent="0.4">
      <c r="A51" s="854" t="s">
        <v>576</v>
      </c>
      <c r="B51" s="855">
        <v>43581</v>
      </c>
      <c r="C51" s="854" t="s">
        <v>1523</v>
      </c>
      <c r="D51" s="854" t="s">
        <v>1024</v>
      </c>
      <c r="E51" s="854" t="s">
        <v>1033</v>
      </c>
      <c r="F51" s="856">
        <v>5000</v>
      </c>
    </row>
    <row r="52" spans="1:6" ht="14.6" x14ac:dyDescent="0.4">
      <c r="A52" s="854" t="s">
        <v>576</v>
      </c>
      <c r="B52" s="855">
        <v>43584</v>
      </c>
      <c r="C52" s="854" t="s">
        <v>1524</v>
      </c>
      <c r="D52" s="854" t="s">
        <v>1030</v>
      </c>
      <c r="E52" s="854" t="s">
        <v>1531</v>
      </c>
      <c r="F52" s="856">
        <v>12368.76</v>
      </c>
    </row>
    <row r="53" spans="1:6" ht="14.6" x14ac:dyDescent="0.4">
      <c r="A53" s="854" t="s">
        <v>576</v>
      </c>
      <c r="B53" s="855">
        <v>43585</v>
      </c>
      <c r="C53" s="854" t="s">
        <v>1525</v>
      </c>
      <c r="D53" s="854" t="s">
        <v>1383</v>
      </c>
      <c r="E53" s="854" t="s">
        <v>1532</v>
      </c>
      <c r="F53" s="856">
        <v>2000</v>
      </c>
    </row>
    <row r="54" spans="1:6" ht="14.6" x14ac:dyDescent="0.4">
      <c r="A54" s="854" t="s">
        <v>576</v>
      </c>
      <c r="B54" s="855">
        <v>43585</v>
      </c>
      <c r="C54" s="854" t="s">
        <v>1636</v>
      </c>
      <c r="D54" s="854" t="s">
        <v>1640</v>
      </c>
      <c r="E54" s="854" t="s">
        <v>1642</v>
      </c>
      <c r="F54" s="856">
        <v>456.23</v>
      </c>
    </row>
    <row r="55" spans="1:6" ht="14.6" x14ac:dyDescent="0.4">
      <c r="A55" s="854" t="s">
        <v>576</v>
      </c>
      <c r="B55" s="855">
        <v>43585</v>
      </c>
      <c r="C55" s="854" t="s">
        <v>1637</v>
      </c>
      <c r="D55" s="854" t="s">
        <v>1853</v>
      </c>
      <c r="E55" s="854" t="s">
        <v>1037</v>
      </c>
      <c r="F55" s="856">
        <v>740</v>
      </c>
    </row>
    <row r="56" spans="1:6" ht="14.6" x14ac:dyDescent="0.4">
      <c r="A56" s="854" t="s">
        <v>576</v>
      </c>
      <c r="B56" s="855">
        <v>43586</v>
      </c>
      <c r="C56" s="854" t="s">
        <v>1526</v>
      </c>
      <c r="D56" s="854" t="s">
        <v>1388</v>
      </c>
      <c r="E56" s="854" t="s">
        <v>1406</v>
      </c>
      <c r="F56" s="856">
        <v>19012.5</v>
      </c>
    </row>
    <row r="57" spans="1:6" ht="14.6" x14ac:dyDescent="0.4">
      <c r="A57" s="854" t="s">
        <v>576</v>
      </c>
      <c r="B57" s="855">
        <v>43586</v>
      </c>
      <c r="C57" s="854" t="s">
        <v>1638</v>
      </c>
      <c r="D57" s="854" t="s">
        <v>1028</v>
      </c>
      <c r="E57" s="854" t="s">
        <v>1641</v>
      </c>
      <c r="F57" s="856">
        <v>192.5</v>
      </c>
    </row>
    <row r="58" spans="1:6" ht="14.6" x14ac:dyDescent="0.4">
      <c r="A58" s="854" t="s">
        <v>576</v>
      </c>
      <c r="B58" s="855">
        <v>43591</v>
      </c>
      <c r="C58" s="854" t="s">
        <v>1512</v>
      </c>
      <c r="D58" s="854" t="s">
        <v>1528</v>
      </c>
      <c r="E58" s="854" t="s">
        <v>1533</v>
      </c>
      <c r="F58" s="856">
        <v>2000</v>
      </c>
    </row>
    <row r="59" spans="1:6" ht="14.6" x14ac:dyDescent="0.4">
      <c r="A59" s="854" t="s">
        <v>576</v>
      </c>
      <c r="B59" s="855">
        <v>43592</v>
      </c>
      <c r="C59" s="854" t="s">
        <v>1639</v>
      </c>
      <c r="D59" s="854" t="s">
        <v>1527</v>
      </c>
      <c r="E59" s="854" t="s">
        <v>1529</v>
      </c>
      <c r="F59" s="856">
        <v>750</v>
      </c>
    </row>
    <row r="60" spans="1:6" ht="14.6" x14ac:dyDescent="0.4">
      <c r="A60" s="854" t="s">
        <v>576</v>
      </c>
      <c r="B60" s="855">
        <v>43613</v>
      </c>
      <c r="C60" s="854" t="s">
        <v>1841</v>
      </c>
      <c r="D60" s="854" t="s">
        <v>1030</v>
      </c>
      <c r="E60" s="854" t="s">
        <v>2020</v>
      </c>
      <c r="F60" s="856">
        <v>22520.83</v>
      </c>
    </row>
    <row r="61" spans="1:6" ht="14.6" x14ac:dyDescent="0.4">
      <c r="A61" s="854" t="s">
        <v>576</v>
      </c>
      <c r="B61" s="855">
        <v>43615</v>
      </c>
      <c r="C61" s="854" t="s">
        <v>1842</v>
      </c>
      <c r="D61" s="854" t="s">
        <v>1528</v>
      </c>
      <c r="E61" s="854" t="s">
        <v>1533</v>
      </c>
      <c r="F61" s="856">
        <v>2263.0700000000002</v>
      </c>
    </row>
    <row r="62" spans="1:6" ht="14.6" x14ac:dyDescent="0.4">
      <c r="A62" s="854" t="s">
        <v>576</v>
      </c>
      <c r="B62" s="855">
        <v>43615</v>
      </c>
      <c r="C62" s="854" t="s">
        <v>1843</v>
      </c>
      <c r="D62" s="854" t="s">
        <v>1029</v>
      </c>
      <c r="E62" s="854" t="s">
        <v>1040</v>
      </c>
      <c r="F62" s="856">
        <v>5475</v>
      </c>
    </row>
    <row r="63" spans="1:6" ht="14.6" x14ac:dyDescent="0.4">
      <c r="A63" s="854" t="s">
        <v>576</v>
      </c>
      <c r="B63" s="855">
        <v>43616</v>
      </c>
      <c r="C63" s="854" t="s">
        <v>1844</v>
      </c>
      <c r="D63" s="854" t="s">
        <v>1031</v>
      </c>
      <c r="E63" s="854" t="s">
        <v>1042</v>
      </c>
      <c r="F63" s="856">
        <v>75</v>
      </c>
    </row>
    <row r="64" spans="1:6" ht="14.6" x14ac:dyDescent="0.4">
      <c r="A64" s="854" t="s">
        <v>576</v>
      </c>
      <c r="B64" s="855">
        <v>43616</v>
      </c>
      <c r="C64" s="854" t="s">
        <v>1845</v>
      </c>
      <c r="D64" s="854" t="s">
        <v>1640</v>
      </c>
      <c r="E64" s="854" t="s">
        <v>1642</v>
      </c>
      <c r="F64" s="856">
        <v>452.6</v>
      </c>
    </row>
    <row r="65" spans="1:7" ht="14.6" x14ac:dyDescent="0.4">
      <c r="A65" s="854" t="s">
        <v>576</v>
      </c>
      <c r="B65" s="855">
        <v>43616</v>
      </c>
      <c r="C65" s="854" t="s">
        <v>1846</v>
      </c>
      <c r="D65" s="854" t="s">
        <v>1853</v>
      </c>
      <c r="E65" s="854" t="s">
        <v>1037</v>
      </c>
      <c r="F65" s="856">
        <v>370</v>
      </c>
    </row>
    <row r="66" spans="1:7" ht="14.6" x14ac:dyDescent="0.4">
      <c r="A66" s="854" t="s">
        <v>576</v>
      </c>
      <c r="B66" s="855">
        <v>43617</v>
      </c>
      <c r="C66" s="854" t="s">
        <v>1847</v>
      </c>
      <c r="D66" s="854" t="s">
        <v>551</v>
      </c>
      <c r="E66" s="854" t="s">
        <v>1556</v>
      </c>
      <c r="G66" s="856">
        <v>21144</v>
      </c>
    </row>
    <row r="67" spans="1:7" ht="14.6" x14ac:dyDescent="0.4">
      <c r="A67" s="854" t="s">
        <v>576</v>
      </c>
      <c r="B67" s="855">
        <v>43617</v>
      </c>
      <c r="C67" s="854" t="s">
        <v>1848</v>
      </c>
      <c r="D67" s="854" t="s">
        <v>1024</v>
      </c>
      <c r="E67" s="854" t="s">
        <v>1033</v>
      </c>
      <c r="F67" s="856">
        <v>5000</v>
      </c>
    </row>
    <row r="68" spans="1:7" ht="14.6" x14ac:dyDescent="0.4">
      <c r="A68" s="854" t="s">
        <v>576</v>
      </c>
      <c r="B68" s="855">
        <v>43617</v>
      </c>
      <c r="C68" s="854" t="s">
        <v>1849</v>
      </c>
      <c r="D68" s="854" t="s">
        <v>1028</v>
      </c>
      <c r="E68" s="854" t="s">
        <v>1855</v>
      </c>
      <c r="F68" s="856">
        <v>618.75</v>
      </c>
    </row>
    <row r="69" spans="1:7" ht="14.6" x14ac:dyDescent="0.4">
      <c r="A69" s="854" t="s">
        <v>576</v>
      </c>
      <c r="B69" s="855">
        <v>43621</v>
      </c>
      <c r="C69" s="854" t="s">
        <v>1850</v>
      </c>
      <c r="D69" s="854" t="s">
        <v>1854</v>
      </c>
      <c r="E69" s="854" t="s">
        <v>1856</v>
      </c>
      <c r="F69" s="856">
        <v>753.7</v>
      </c>
    </row>
    <row r="70" spans="1:7" ht="14.6" x14ac:dyDescent="0.4">
      <c r="A70" s="854" t="s">
        <v>576</v>
      </c>
      <c r="B70" s="855">
        <v>43626</v>
      </c>
      <c r="C70" s="854" t="s">
        <v>1851</v>
      </c>
      <c r="D70" s="854" t="s">
        <v>1389</v>
      </c>
      <c r="E70" s="854" t="s">
        <v>1857</v>
      </c>
      <c r="F70" s="856">
        <v>1074.75</v>
      </c>
    </row>
    <row r="71" spans="1:7" ht="14.6" x14ac:dyDescent="0.4">
      <c r="A71" s="854" t="s">
        <v>576</v>
      </c>
      <c r="B71" s="855">
        <v>43633</v>
      </c>
      <c r="C71" s="854" t="s">
        <v>1852</v>
      </c>
      <c r="D71" s="854" t="s">
        <v>1390</v>
      </c>
      <c r="E71" s="854" t="s">
        <v>1042</v>
      </c>
      <c r="F71" s="856">
        <v>70</v>
      </c>
    </row>
    <row r="72" spans="1:7" ht="14.6" x14ac:dyDescent="0.4">
      <c r="A72" s="854" t="s">
        <v>576</v>
      </c>
      <c r="B72" s="855">
        <v>43642</v>
      </c>
      <c r="C72" s="854" t="s">
        <v>2011</v>
      </c>
      <c r="D72" s="854" t="s">
        <v>1030</v>
      </c>
      <c r="E72" s="854" t="s">
        <v>2021</v>
      </c>
      <c r="F72" s="856">
        <v>10176.530000000001</v>
      </c>
    </row>
    <row r="73" spans="1:7" ht="14.6" x14ac:dyDescent="0.4">
      <c r="A73" s="854" t="s">
        <v>576</v>
      </c>
      <c r="B73" s="855">
        <v>43643</v>
      </c>
      <c r="C73" s="854" t="s">
        <v>1987</v>
      </c>
      <c r="D73" s="854" t="s">
        <v>921</v>
      </c>
      <c r="E73" s="854" t="s">
        <v>2022</v>
      </c>
      <c r="G73" s="856">
        <v>12000</v>
      </c>
    </row>
    <row r="74" spans="1:7" ht="14.6" x14ac:dyDescent="0.4">
      <c r="A74" s="854" t="s">
        <v>576</v>
      </c>
      <c r="B74" s="855">
        <v>43646</v>
      </c>
      <c r="C74" s="854" t="s">
        <v>2012</v>
      </c>
      <c r="D74" s="854" t="s">
        <v>1024</v>
      </c>
      <c r="E74" s="854" t="s">
        <v>1033</v>
      </c>
      <c r="F74" s="856">
        <v>5000</v>
      </c>
    </row>
    <row r="75" spans="1:7" ht="14.6" x14ac:dyDescent="0.4">
      <c r="A75" s="854" t="s">
        <v>576</v>
      </c>
      <c r="B75" s="855">
        <v>43646</v>
      </c>
      <c r="C75" s="854" t="s">
        <v>2013</v>
      </c>
      <c r="D75" s="854" t="s">
        <v>1640</v>
      </c>
      <c r="E75" s="854" t="s">
        <v>1642</v>
      </c>
      <c r="F75" s="856">
        <v>394.8</v>
      </c>
    </row>
    <row r="76" spans="1:7" ht="14.6" x14ac:dyDescent="0.4">
      <c r="A76" s="854" t="s">
        <v>576</v>
      </c>
      <c r="B76" s="855">
        <v>43646</v>
      </c>
      <c r="C76" s="854" t="s">
        <v>2014</v>
      </c>
      <c r="D76" s="854" t="s">
        <v>1853</v>
      </c>
      <c r="E76" s="854" t="s">
        <v>1037</v>
      </c>
      <c r="F76" s="856">
        <v>185</v>
      </c>
    </row>
    <row r="77" spans="1:7" ht="14.6" x14ac:dyDescent="0.4">
      <c r="A77" s="854" t="s">
        <v>576</v>
      </c>
      <c r="B77" s="855">
        <v>43646</v>
      </c>
      <c r="C77" s="854" t="s">
        <v>2015</v>
      </c>
      <c r="D77" s="854" t="s">
        <v>1055</v>
      </c>
      <c r="E77" s="854" t="s">
        <v>2023</v>
      </c>
      <c r="G77" s="856">
        <v>2880</v>
      </c>
    </row>
    <row r="78" spans="1:7" ht="14.6" x14ac:dyDescent="0.4">
      <c r="A78" s="854" t="s">
        <v>576</v>
      </c>
      <c r="B78" s="855">
        <v>43647</v>
      </c>
      <c r="C78" s="854" t="s">
        <v>2016</v>
      </c>
      <c r="D78" s="854" t="s">
        <v>551</v>
      </c>
      <c r="E78" s="854" t="s">
        <v>2024</v>
      </c>
      <c r="F78" s="856">
        <v>4200</v>
      </c>
    </row>
    <row r="79" spans="1:7" ht="14.6" x14ac:dyDescent="0.4">
      <c r="A79" s="854" t="s">
        <v>576</v>
      </c>
      <c r="B79" s="855">
        <v>43647</v>
      </c>
      <c r="C79" s="854" t="s">
        <v>2017</v>
      </c>
      <c r="D79" s="854" t="s">
        <v>1528</v>
      </c>
      <c r="E79" s="854" t="s">
        <v>2025</v>
      </c>
      <c r="F79" s="856">
        <v>1052.8</v>
      </c>
    </row>
    <row r="80" spans="1:7" ht="14.6" x14ac:dyDescent="0.4">
      <c r="A80" s="854" t="s">
        <v>576</v>
      </c>
      <c r="B80" s="855">
        <v>43661</v>
      </c>
      <c r="C80" s="854" t="s">
        <v>2018</v>
      </c>
      <c r="D80" s="854" t="s">
        <v>1386</v>
      </c>
      <c r="E80" s="854" t="s">
        <v>2026</v>
      </c>
      <c r="F80" s="856">
        <v>11500</v>
      </c>
    </row>
    <row r="81" spans="1:6" ht="14.6" x14ac:dyDescent="0.4">
      <c r="A81" s="854" t="s">
        <v>576</v>
      </c>
      <c r="B81" s="855">
        <v>43665</v>
      </c>
      <c r="C81" s="854" t="s">
        <v>2393</v>
      </c>
      <c r="D81" s="854" t="s">
        <v>1383</v>
      </c>
      <c r="E81" s="854" t="s">
        <v>2422</v>
      </c>
      <c r="F81" s="856">
        <v>4500</v>
      </c>
    </row>
    <row r="82" spans="1:6" ht="14.6" x14ac:dyDescent="0.4">
      <c r="A82" s="854" t="s">
        <v>576</v>
      </c>
      <c r="B82" s="855">
        <v>43665</v>
      </c>
      <c r="C82" s="854" t="s">
        <v>2394</v>
      </c>
      <c r="D82" s="854" t="s">
        <v>1383</v>
      </c>
      <c r="E82" s="854" t="s">
        <v>2422</v>
      </c>
      <c r="F82" s="856">
        <v>2250</v>
      </c>
    </row>
    <row r="83" spans="1:6" ht="14.6" x14ac:dyDescent="0.4">
      <c r="A83" s="854" t="s">
        <v>576</v>
      </c>
      <c r="B83" s="855">
        <v>43668</v>
      </c>
      <c r="C83" s="854" t="s">
        <v>2395</v>
      </c>
      <c r="D83" s="854" t="s">
        <v>1388</v>
      </c>
      <c r="E83" s="854" t="s">
        <v>1406</v>
      </c>
      <c r="F83" s="856">
        <v>19012.5</v>
      </c>
    </row>
    <row r="84" spans="1:6" ht="14.6" x14ac:dyDescent="0.4">
      <c r="A84" s="854" t="s">
        <v>576</v>
      </c>
      <c r="B84" s="855">
        <v>43670</v>
      </c>
      <c r="C84" s="854" t="s">
        <v>2396</v>
      </c>
      <c r="D84" s="854" t="s">
        <v>1030</v>
      </c>
      <c r="E84" s="854" t="s">
        <v>2423</v>
      </c>
      <c r="F84" s="856">
        <v>9795.93</v>
      </c>
    </row>
    <row r="85" spans="1:6" ht="14.6" x14ac:dyDescent="0.4">
      <c r="A85" s="854" t="s">
        <v>576</v>
      </c>
      <c r="B85" s="855">
        <v>43676</v>
      </c>
      <c r="C85" s="854" t="s">
        <v>2397</v>
      </c>
      <c r="D85" s="854" t="s">
        <v>1024</v>
      </c>
      <c r="E85" s="854" t="s">
        <v>1033</v>
      </c>
      <c r="F85" s="856">
        <v>5000</v>
      </c>
    </row>
    <row r="86" spans="1:6" ht="14.6" x14ac:dyDescent="0.4">
      <c r="A86" s="854" t="s">
        <v>576</v>
      </c>
      <c r="B86" s="855">
        <v>43677</v>
      </c>
      <c r="C86" s="854" t="s">
        <v>2398</v>
      </c>
      <c r="D86" s="854" t="s">
        <v>1640</v>
      </c>
      <c r="E86" s="854" t="s">
        <v>1642</v>
      </c>
      <c r="F86" s="856">
        <v>444.1</v>
      </c>
    </row>
    <row r="87" spans="1:6" ht="14.6" x14ac:dyDescent="0.4">
      <c r="A87" s="854" t="s">
        <v>576</v>
      </c>
      <c r="B87" s="855">
        <v>43679</v>
      </c>
      <c r="C87" s="854" t="s">
        <v>2399</v>
      </c>
      <c r="D87" s="854" t="s">
        <v>2420</v>
      </c>
      <c r="E87" s="854" t="s">
        <v>2424</v>
      </c>
      <c r="F87" s="856">
        <v>1788.3</v>
      </c>
    </row>
    <row r="88" spans="1:6" ht="14.6" x14ac:dyDescent="0.4">
      <c r="A88" s="854" t="s">
        <v>576</v>
      </c>
      <c r="B88" s="855">
        <v>43684</v>
      </c>
      <c r="C88" s="854" t="s">
        <v>2400</v>
      </c>
      <c r="D88" s="854" t="s">
        <v>1025</v>
      </c>
      <c r="E88" s="854" t="s">
        <v>2425</v>
      </c>
      <c r="F88" s="856">
        <v>350</v>
      </c>
    </row>
    <row r="89" spans="1:6" ht="14.6" x14ac:dyDescent="0.4">
      <c r="A89" s="854" t="s">
        <v>576</v>
      </c>
      <c r="B89" s="855">
        <v>43693</v>
      </c>
      <c r="C89" s="854" t="s">
        <v>2401</v>
      </c>
      <c r="D89" s="854" t="s">
        <v>1390</v>
      </c>
      <c r="E89" s="854" t="s">
        <v>1042</v>
      </c>
      <c r="F89" s="856">
        <v>70</v>
      </c>
    </row>
    <row r="90" spans="1:6" ht="14.6" x14ac:dyDescent="0.4">
      <c r="A90" s="854" t="s">
        <v>576</v>
      </c>
      <c r="B90" s="855">
        <v>43693</v>
      </c>
      <c r="C90" s="854" t="s">
        <v>2402</v>
      </c>
      <c r="D90" s="854" t="s">
        <v>1031</v>
      </c>
      <c r="E90" s="854" t="s">
        <v>1042</v>
      </c>
      <c r="F90" s="856">
        <v>85.6</v>
      </c>
    </row>
    <row r="91" spans="1:6" ht="14.6" x14ac:dyDescent="0.4">
      <c r="A91" s="854" t="s">
        <v>575</v>
      </c>
      <c r="B91" s="855">
        <v>43696</v>
      </c>
      <c r="C91" s="854" t="s">
        <v>2403</v>
      </c>
      <c r="D91" s="854" t="s">
        <v>2421</v>
      </c>
      <c r="E91" s="854" t="s">
        <v>2426</v>
      </c>
      <c r="F91" s="856">
        <v>79.989999999999995</v>
      </c>
    </row>
    <row r="92" spans="1:6" ht="14.6" x14ac:dyDescent="0.4">
      <c r="A92" s="854" t="s">
        <v>575</v>
      </c>
      <c r="B92" s="855">
        <v>43696</v>
      </c>
      <c r="C92" s="854" t="s">
        <v>2404</v>
      </c>
      <c r="D92" s="854" t="s">
        <v>2421</v>
      </c>
      <c r="E92" s="854" t="s">
        <v>2427</v>
      </c>
      <c r="F92" s="856">
        <v>129.97999999999999</v>
      </c>
    </row>
    <row r="93" spans="1:6" ht="14.6" x14ac:dyDescent="0.4">
      <c r="A93" s="854" t="s">
        <v>575</v>
      </c>
      <c r="B93" s="855">
        <v>43697</v>
      </c>
      <c r="C93" s="854" t="s">
        <v>2405</v>
      </c>
      <c r="D93" s="854" t="s">
        <v>2421</v>
      </c>
      <c r="E93" s="854" t="s">
        <v>2428</v>
      </c>
      <c r="F93" s="856">
        <v>14</v>
      </c>
    </row>
    <row r="94" spans="1:6" ht="14.6" x14ac:dyDescent="0.4">
      <c r="A94" s="854" t="s">
        <v>575</v>
      </c>
      <c r="B94" s="855">
        <v>43697</v>
      </c>
      <c r="C94" s="854" t="s">
        <v>2406</v>
      </c>
      <c r="D94" s="854" t="s">
        <v>2421</v>
      </c>
      <c r="E94" s="854" t="s">
        <v>2426</v>
      </c>
      <c r="F94" s="856">
        <v>15.95</v>
      </c>
    </row>
    <row r="95" spans="1:6" ht="14.6" x14ac:dyDescent="0.4">
      <c r="A95" s="854" t="s">
        <v>576</v>
      </c>
      <c r="B95" s="855">
        <v>43698</v>
      </c>
      <c r="C95" s="854" t="s">
        <v>2407</v>
      </c>
      <c r="D95" s="854" t="s">
        <v>1383</v>
      </c>
      <c r="E95" s="854" t="s">
        <v>2429</v>
      </c>
      <c r="F95" s="856">
        <v>2000</v>
      </c>
    </row>
    <row r="96" spans="1:6" ht="14.6" x14ac:dyDescent="0.4">
      <c r="A96" s="854" t="s">
        <v>576</v>
      </c>
      <c r="B96" s="855">
        <v>43698</v>
      </c>
      <c r="C96" s="854" t="s">
        <v>2408</v>
      </c>
      <c r="D96" s="854" t="s">
        <v>1383</v>
      </c>
      <c r="E96" s="854" t="s">
        <v>2429</v>
      </c>
      <c r="F96" s="856">
        <v>4000</v>
      </c>
    </row>
    <row r="97" spans="1:7" ht="14.6" x14ac:dyDescent="0.4">
      <c r="A97" s="854" t="s">
        <v>576</v>
      </c>
      <c r="B97" s="855">
        <v>43700</v>
      </c>
      <c r="C97" s="854" t="s">
        <v>2409</v>
      </c>
      <c r="D97" s="854" t="s">
        <v>1027</v>
      </c>
      <c r="E97" s="854" t="s">
        <v>2430</v>
      </c>
      <c r="F97" s="856">
        <v>70</v>
      </c>
    </row>
    <row r="98" spans="1:7" ht="14.6" x14ac:dyDescent="0.4">
      <c r="A98" s="854" t="s">
        <v>576</v>
      </c>
      <c r="B98" s="855">
        <v>43703</v>
      </c>
      <c r="C98" s="854" t="s">
        <v>2410</v>
      </c>
      <c r="D98" s="854" t="s">
        <v>1024</v>
      </c>
      <c r="E98" s="854" t="s">
        <v>1033</v>
      </c>
      <c r="F98" s="856">
        <v>5000</v>
      </c>
    </row>
    <row r="99" spans="1:7" ht="14.6" x14ac:dyDescent="0.4">
      <c r="A99" s="854" t="s">
        <v>575</v>
      </c>
      <c r="B99" s="855">
        <v>43703</v>
      </c>
      <c r="C99" s="854" t="s">
        <v>2711</v>
      </c>
      <c r="D99" s="854" t="s">
        <v>2421</v>
      </c>
      <c r="E99" s="854" t="s">
        <v>2729</v>
      </c>
      <c r="F99" s="856">
        <v>14.99</v>
      </c>
    </row>
    <row r="100" spans="1:7" ht="14.6" x14ac:dyDescent="0.4">
      <c r="A100" s="854" t="s">
        <v>575</v>
      </c>
      <c r="B100" s="855">
        <v>43703</v>
      </c>
      <c r="C100" s="854" t="s">
        <v>2712</v>
      </c>
      <c r="D100" s="854" t="s">
        <v>2421</v>
      </c>
      <c r="E100" s="854" t="s">
        <v>2730</v>
      </c>
      <c r="F100" s="856">
        <v>94.98</v>
      </c>
    </row>
    <row r="101" spans="1:7" ht="14.6" x14ac:dyDescent="0.4">
      <c r="A101" s="854" t="s">
        <v>575</v>
      </c>
      <c r="B101" s="855">
        <v>43704</v>
      </c>
      <c r="C101" s="854" t="s">
        <v>2713</v>
      </c>
      <c r="D101" s="854" t="s">
        <v>2421</v>
      </c>
      <c r="E101" s="854" t="s">
        <v>2731</v>
      </c>
      <c r="F101" s="856">
        <v>11.5</v>
      </c>
    </row>
    <row r="102" spans="1:7" ht="14.6" x14ac:dyDescent="0.4">
      <c r="A102" s="854" t="s">
        <v>1921</v>
      </c>
      <c r="B102" s="855">
        <v>43704</v>
      </c>
      <c r="C102" s="854" t="s">
        <v>2714</v>
      </c>
      <c r="D102" s="854" t="s">
        <v>2421</v>
      </c>
      <c r="E102" s="854" t="s">
        <v>2732</v>
      </c>
      <c r="F102" s="856">
        <v>-14.99</v>
      </c>
    </row>
    <row r="103" spans="1:7" ht="14.6" x14ac:dyDescent="0.4">
      <c r="A103" s="854" t="s">
        <v>576</v>
      </c>
      <c r="B103" s="855">
        <v>43705</v>
      </c>
      <c r="C103" s="854" t="s">
        <v>2411</v>
      </c>
      <c r="D103" s="854" t="s">
        <v>1030</v>
      </c>
      <c r="E103" s="854" t="s">
        <v>2431</v>
      </c>
      <c r="F103" s="856">
        <v>15000</v>
      </c>
    </row>
    <row r="104" spans="1:7" ht="14.6" x14ac:dyDescent="0.4">
      <c r="A104" s="854" t="s">
        <v>576</v>
      </c>
      <c r="B104" s="855">
        <v>43705</v>
      </c>
      <c r="C104" s="854" t="s">
        <v>2411</v>
      </c>
      <c r="D104" s="854" t="s">
        <v>1030</v>
      </c>
      <c r="E104" s="854" t="s">
        <v>2432</v>
      </c>
      <c r="F104" s="856">
        <v>9063.76</v>
      </c>
    </row>
    <row r="105" spans="1:7" ht="14.6" x14ac:dyDescent="0.4">
      <c r="A105" s="854" t="s">
        <v>576</v>
      </c>
      <c r="B105" s="855">
        <v>43708</v>
      </c>
      <c r="C105" s="854" t="s">
        <v>2412</v>
      </c>
      <c r="D105" s="854" t="s">
        <v>1853</v>
      </c>
      <c r="E105" s="854" t="s">
        <v>1037</v>
      </c>
      <c r="F105" s="856">
        <v>92.5</v>
      </c>
    </row>
    <row r="106" spans="1:7" ht="14.6" x14ac:dyDescent="0.4">
      <c r="A106" s="854" t="s">
        <v>576</v>
      </c>
      <c r="B106" s="855">
        <v>43709</v>
      </c>
      <c r="C106" s="854" t="s">
        <v>2413</v>
      </c>
      <c r="D106" s="854" t="s">
        <v>551</v>
      </c>
      <c r="E106" s="854" t="s">
        <v>1556</v>
      </c>
      <c r="G106" s="856">
        <v>21144</v>
      </c>
    </row>
    <row r="107" spans="1:7" ht="14.6" x14ac:dyDescent="0.4">
      <c r="A107" s="854" t="s">
        <v>576</v>
      </c>
      <c r="B107" s="855">
        <v>43709</v>
      </c>
      <c r="C107" s="854" t="s">
        <v>2414</v>
      </c>
      <c r="D107" s="854" t="s">
        <v>1028</v>
      </c>
      <c r="E107" s="854" t="s">
        <v>1855</v>
      </c>
      <c r="F107" s="856">
        <v>137.5</v>
      </c>
    </row>
    <row r="108" spans="1:7" ht="14.6" x14ac:dyDescent="0.4">
      <c r="A108" s="854" t="s">
        <v>576</v>
      </c>
      <c r="B108" s="855">
        <v>43714</v>
      </c>
      <c r="C108" s="854" t="s">
        <v>2415</v>
      </c>
      <c r="D108" s="854" t="s">
        <v>1386</v>
      </c>
      <c r="E108" s="854" t="s">
        <v>2433</v>
      </c>
      <c r="F108" s="856">
        <v>21000</v>
      </c>
    </row>
    <row r="109" spans="1:7" ht="14.6" x14ac:dyDescent="0.4">
      <c r="A109" s="854" t="s">
        <v>576</v>
      </c>
      <c r="B109" s="855">
        <v>43717</v>
      </c>
      <c r="C109" s="854" t="s">
        <v>2416</v>
      </c>
      <c r="D109" s="854" t="s">
        <v>1383</v>
      </c>
      <c r="E109" s="854" t="s">
        <v>2434</v>
      </c>
      <c r="F109" s="856">
        <v>14500</v>
      </c>
    </row>
    <row r="110" spans="1:7" ht="14.6" x14ac:dyDescent="0.4">
      <c r="A110" s="854" t="s">
        <v>576</v>
      </c>
      <c r="B110" s="855">
        <v>43717</v>
      </c>
      <c r="C110" s="854" t="s">
        <v>2417</v>
      </c>
      <c r="D110" s="854" t="s">
        <v>1383</v>
      </c>
      <c r="E110" s="854" t="s">
        <v>2435</v>
      </c>
      <c r="F110" s="856">
        <v>7250</v>
      </c>
    </row>
    <row r="111" spans="1:7" ht="14.6" x14ac:dyDescent="0.4">
      <c r="A111" s="854" t="s">
        <v>576</v>
      </c>
      <c r="B111" s="855">
        <v>43720</v>
      </c>
      <c r="C111" s="854" t="s">
        <v>2418</v>
      </c>
      <c r="D111" s="854" t="s">
        <v>1027</v>
      </c>
      <c r="E111" s="854" t="s">
        <v>2436</v>
      </c>
      <c r="F111" s="856">
        <v>35</v>
      </c>
    </row>
    <row r="112" spans="1:7" ht="14.6" x14ac:dyDescent="0.4">
      <c r="A112" s="854" t="s">
        <v>576</v>
      </c>
      <c r="B112" s="855">
        <v>43725</v>
      </c>
      <c r="C112" s="854" t="s">
        <v>2419</v>
      </c>
      <c r="D112" s="854" t="s">
        <v>551</v>
      </c>
      <c r="E112" s="854" t="s">
        <v>2024</v>
      </c>
      <c r="F112" s="856">
        <v>4200</v>
      </c>
    </row>
    <row r="113" spans="1:6" ht="14.6" x14ac:dyDescent="0.4">
      <c r="A113" s="854" t="s">
        <v>576</v>
      </c>
      <c r="B113" s="855">
        <v>43733</v>
      </c>
      <c r="C113" s="854" t="s">
        <v>2715</v>
      </c>
      <c r="D113" s="854" t="s">
        <v>1383</v>
      </c>
      <c r="E113" s="854" t="s">
        <v>2733</v>
      </c>
      <c r="F113" s="856">
        <v>6500</v>
      </c>
    </row>
    <row r="114" spans="1:6" ht="14.6" x14ac:dyDescent="0.4">
      <c r="A114" s="854" t="s">
        <v>576</v>
      </c>
      <c r="B114" s="855">
        <v>43733</v>
      </c>
      <c r="C114" s="854" t="s">
        <v>2716</v>
      </c>
      <c r="D114" s="854" t="s">
        <v>1383</v>
      </c>
      <c r="E114" s="854" t="s">
        <v>2734</v>
      </c>
      <c r="F114" s="856">
        <v>6500</v>
      </c>
    </row>
    <row r="115" spans="1:6" ht="14.6" x14ac:dyDescent="0.4">
      <c r="A115" s="854" t="s">
        <v>576</v>
      </c>
      <c r="B115" s="855">
        <v>43733</v>
      </c>
      <c r="C115" s="854" t="s">
        <v>2717</v>
      </c>
      <c r="D115" s="854" t="s">
        <v>1383</v>
      </c>
      <c r="E115" s="854" t="s">
        <v>2735</v>
      </c>
      <c r="F115" s="856">
        <v>6500</v>
      </c>
    </row>
    <row r="116" spans="1:6" ht="14.6" x14ac:dyDescent="0.4">
      <c r="A116" s="854" t="s">
        <v>576</v>
      </c>
      <c r="B116" s="855">
        <v>43733</v>
      </c>
      <c r="C116" s="854" t="s">
        <v>2718</v>
      </c>
      <c r="D116" s="854" t="s">
        <v>1383</v>
      </c>
      <c r="E116" s="854" t="s">
        <v>2736</v>
      </c>
      <c r="F116" s="856">
        <v>6500</v>
      </c>
    </row>
    <row r="117" spans="1:6" ht="14.6" x14ac:dyDescent="0.4">
      <c r="A117" s="854" t="s">
        <v>576</v>
      </c>
      <c r="B117" s="855">
        <v>43733</v>
      </c>
      <c r="C117" s="854" t="s">
        <v>2354</v>
      </c>
      <c r="D117" s="854" t="s">
        <v>1025</v>
      </c>
      <c r="E117" s="854" t="s">
        <v>2737</v>
      </c>
      <c r="F117" s="856">
        <v>700</v>
      </c>
    </row>
    <row r="118" spans="1:6" ht="14.6" x14ac:dyDescent="0.4">
      <c r="A118" s="854" t="s">
        <v>1921</v>
      </c>
      <c r="B118" s="855">
        <v>43734</v>
      </c>
      <c r="C118" s="854" t="s">
        <v>2719</v>
      </c>
      <c r="D118" s="854" t="s">
        <v>2421</v>
      </c>
      <c r="E118" s="854" t="s">
        <v>2732</v>
      </c>
      <c r="F118" s="856">
        <v>-14.99</v>
      </c>
    </row>
    <row r="119" spans="1:6" ht="14.6" x14ac:dyDescent="0.4">
      <c r="A119" s="854" t="s">
        <v>576</v>
      </c>
      <c r="B119" s="855">
        <v>43735</v>
      </c>
      <c r="C119" s="854" t="s">
        <v>2720</v>
      </c>
      <c r="D119" s="854" t="s">
        <v>1386</v>
      </c>
      <c r="E119" s="854" t="s">
        <v>2738</v>
      </c>
      <c r="F119" s="856">
        <v>6560</v>
      </c>
    </row>
    <row r="120" spans="1:6" ht="14.6" x14ac:dyDescent="0.4">
      <c r="A120" s="854" t="s">
        <v>576</v>
      </c>
      <c r="B120" s="855">
        <v>43739</v>
      </c>
      <c r="C120" s="854" t="s">
        <v>2721</v>
      </c>
      <c r="D120" s="854" t="s">
        <v>1388</v>
      </c>
      <c r="E120" s="854" t="s">
        <v>1406</v>
      </c>
      <c r="F120" s="856">
        <v>19012.5</v>
      </c>
    </row>
    <row r="121" spans="1:6" ht="14.6" x14ac:dyDescent="0.4">
      <c r="A121" s="854" t="s">
        <v>576</v>
      </c>
      <c r="B121" s="855">
        <v>43739</v>
      </c>
      <c r="C121" s="854" t="s">
        <v>2722</v>
      </c>
      <c r="D121" s="854" t="s">
        <v>2727</v>
      </c>
      <c r="E121" s="854" t="s">
        <v>2739</v>
      </c>
      <c r="F121" s="856">
        <v>525</v>
      </c>
    </row>
    <row r="122" spans="1:6" ht="14.6" x14ac:dyDescent="0.4">
      <c r="A122" s="854" t="s">
        <v>576</v>
      </c>
      <c r="B122" s="855">
        <v>43739</v>
      </c>
      <c r="C122" s="854" t="s">
        <v>2723</v>
      </c>
      <c r="D122" s="854" t="s">
        <v>1024</v>
      </c>
      <c r="E122" s="854" t="s">
        <v>1033</v>
      </c>
      <c r="F122" s="856">
        <v>5000</v>
      </c>
    </row>
    <row r="123" spans="1:6" ht="14.6" x14ac:dyDescent="0.4">
      <c r="A123" s="854" t="s">
        <v>576</v>
      </c>
      <c r="B123" s="855">
        <v>43741</v>
      </c>
      <c r="C123" s="854" t="s">
        <v>2724</v>
      </c>
      <c r="D123" s="854" t="s">
        <v>1030</v>
      </c>
      <c r="E123" s="854" t="s">
        <v>2740</v>
      </c>
      <c r="F123" s="856">
        <v>21746.66</v>
      </c>
    </row>
    <row r="124" spans="1:6" ht="14.6" x14ac:dyDescent="0.4">
      <c r="A124" s="854" t="s">
        <v>576</v>
      </c>
      <c r="B124" s="855">
        <v>43752</v>
      </c>
      <c r="C124" s="854" t="s">
        <v>2962</v>
      </c>
      <c r="D124" s="854" t="s">
        <v>1386</v>
      </c>
      <c r="E124" s="854" t="s">
        <v>2973</v>
      </c>
      <c r="F124" s="856">
        <v>7500</v>
      </c>
    </row>
    <row r="125" spans="1:6" ht="14.6" x14ac:dyDescent="0.4">
      <c r="A125" s="854" t="s">
        <v>576</v>
      </c>
      <c r="B125" s="855">
        <v>43755</v>
      </c>
      <c r="C125" s="854" t="s">
        <v>2725</v>
      </c>
      <c r="D125" s="854" t="s">
        <v>1390</v>
      </c>
      <c r="E125" s="854" t="s">
        <v>1042</v>
      </c>
      <c r="F125" s="856">
        <v>130</v>
      </c>
    </row>
    <row r="126" spans="1:6" ht="14.6" x14ac:dyDescent="0.4">
      <c r="A126" s="854" t="s">
        <v>576</v>
      </c>
      <c r="B126" s="855">
        <v>43760</v>
      </c>
      <c r="C126" s="854" t="s">
        <v>2726</v>
      </c>
      <c r="D126" s="854" t="s">
        <v>2728</v>
      </c>
      <c r="E126" s="854" t="s">
        <v>2981</v>
      </c>
      <c r="F126" s="856">
        <v>900</v>
      </c>
    </row>
    <row r="127" spans="1:6" ht="14.6" x14ac:dyDescent="0.4">
      <c r="A127" s="854" t="s">
        <v>576</v>
      </c>
      <c r="B127" s="855">
        <v>43766</v>
      </c>
      <c r="C127" s="854" t="s">
        <v>2963</v>
      </c>
      <c r="D127" s="854" t="s">
        <v>1024</v>
      </c>
      <c r="E127" s="854" t="s">
        <v>1033</v>
      </c>
      <c r="F127" s="856">
        <v>5000</v>
      </c>
    </row>
    <row r="128" spans="1:6" ht="14.6" x14ac:dyDescent="0.4">
      <c r="A128" s="854" t="s">
        <v>575</v>
      </c>
      <c r="B128" s="855">
        <v>43767</v>
      </c>
      <c r="C128" s="854" t="s">
        <v>2964</v>
      </c>
      <c r="D128" s="854" t="s">
        <v>2421</v>
      </c>
      <c r="E128" s="854" t="s">
        <v>2974</v>
      </c>
      <c r="F128" s="856">
        <v>69.98</v>
      </c>
    </row>
    <row r="129" spans="1:7" ht="14.6" x14ac:dyDescent="0.4">
      <c r="A129" s="854" t="s">
        <v>576</v>
      </c>
      <c r="B129" s="855">
        <v>43768</v>
      </c>
      <c r="C129" s="854" t="s">
        <v>2965</v>
      </c>
      <c r="D129" s="854" t="s">
        <v>1029</v>
      </c>
      <c r="E129" s="854" t="s">
        <v>2975</v>
      </c>
      <c r="F129" s="856">
        <v>7500</v>
      </c>
    </row>
    <row r="130" spans="1:7" ht="14.6" x14ac:dyDescent="0.4">
      <c r="A130" s="854" t="s">
        <v>576</v>
      </c>
      <c r="B130" s="855">
        <v>43769</v>
      </c>
      <c r="C130" s="854" t="s">
        <v>2966</v>
      </c>
      <c r="D130" s="854" t="s">
        <v>2972</v>
      </c>
      <c r="E130" s="854" t="s">
        <v>2976</v>
      </c>
      <c r="F130" s="856">
        <v>1999.8</v>
      </c>
    </row>
    <row r="131" spans="1:7" ht="14.6" x14ac:dyDescent="0.4">
      <c r="A131" s="854" t="s">
        <v>576</v>
      </c>
      <c r="B131" s="855">
        <v>43769</v>
      </c>
      <c r="C131" s="854" t="s">
        <v>2967</v>
      </c>
      <c r="D131" s="854" t="s">
        <v>1386</v>
      </c>
      <c r="E131" s="854" t="s">
        <v>2977</v>
      </c>
      <c r="F131" s="856">
        <v>425</v>
      </c>
    </row>
    <row r="132" spans="1:7" ht="14.6" x14ac:dyDescent="0.4">
      <c r="A132" s="854" t="s">
        <v>576</v>
      </c>
      <c r="B132" s="855">
        <v>43770</v>
      </c>
      <c r="C132" s="854" t="s">
        <v>2968</v>
      </c>
      <c r="D132" s="854" t="s">
        <v>1028</v>
      </c>
      <c r="E132" s="854" t="s">
        <v>1855</v>
      </c>
      <c r="F132" s="856">
        <v>220</v>
      </c>
    </row>
    <row r="133" spans="1:7" ht="14.6" x14ac:dyDescent="0.4">
      <c r="A133" s="854" t="s">
        <v>576</v>
      </c>
      <c r="B133" s="855">
        <v>43770</v>
      </c>
      <c r="C133" s="854" t="s">
        <v>2969</v>
      </c>
      <c r="D133" s="854" t="s">
        <v>1027</v>
      </c>
      <c r="E133" s="854" t="s">
        <v>2978</v>
      </c>
      <c r="F133" s="856">
        <v>35</v>
      </c>
    </row>
    <row r="134" spans="1:7" ht="14.6" x14ac:dyDescent="0.4">
      <c r="A134" s="854" t="s">
        <v>576</v>
      </c>
      <c r="B134" s="855">
        <v>43775</v>
      </c>
      <c r="C134" s="854" t="s">
        <v>2970</v>
      </c>
      <c r="D134" s="854" t="s">
        <v>1025</v>
      </c>
      <c r="E134" s="854" t="s">
        <v>2979</v>
      </c>
      <c r="F134" s="856">
        <v>350</v>
      </c>
    </row>
    <row r="135" spans="1:7" ht="14.6" x14ac:dyDescent="0.4">
      <c r="A135" s="854" t="s">
        <v>576</v>
      </c>
      <c r="B135" s="855">
        <v>43777</v>
      </c>
      <c r="C135" s="854" t="s">
        <v>2971</v>
      </c>
      <c r="D135" s="854" t="s">
        <v>1030</v>
      </c>
      <c r="E135" s="854" t="s">
        <v>2980</v>
      </c>
      <c r="F135" s="856">
        <v>20217.91</v>
      </c>
    </row>
    <row r="136" spans="1:7" ht="14.6" x14ac:dyDescent="0.4">
      <c r="A136" s="854" t="s">
        <v>575</v>
      </c>
      <c r="B136" s="855">
        <v>43782</v>
      </c>
      <c r="C136" s="854" t="s">
        <v>3221</v>
      </c>
      <c r="D136" s="854" t="s">
        <v>2421</v>
      </c>
      <c r="E136" s="854" t="s">
        <v>3235</v>
      </c>
      <c r="F136" s="856">
        <v>54.99</v>
      </c>
    </row>
    <row r="137" spans="1:7" ht="14.6" x14ac:dyDescent="0.4">
      <c r="A137" s="854" t="s">
        <v>575</v>
      </c>
      <c r="B137" s="855">
        <v>43782</v>
      </c>
      <c r="C137" s="854" t="s">
        <v>3222</v>
      </c>
      <c r="D137" s="854" t="s">
        <v>2421</v>
      </c>
      <c r="E137" s="854" t="s">
        <v>3236</v>
      </c>
      <c r="F137" s="856">
        <v>54.99</v>
      </c>
    </row>
    <row r="138" spans="1:7" ht="14.6" x14ac:dyDescent="0.4">
      <c r="A138" s="854" t="s">
        <v>576</v>
      </c>
      <c r="B138" s="855">
        <v>43787</v>
      </c>
      <c r="C138" s="854" t="s">
        <v>3223</v>
      </c>
      <c r="D138" s="854" t="s">
        <v>1383</v>
      </c>
      <c r="E138" s="854" t="s">
        <v>3237</v>
      </c>
      <c r="F138" s="856">
        <v>2000</v>
      </c>
    </row>
    <row r="139" spans="1:7" ht="14.6" x14ac:dyDescent="0.4">
      <c r="A139" s="854" t="s">
        <v>576</v>
      </c>
      <c r="B139" s="855">
        <v>43800</v>
      </c>
      <c r="C139" s="854" t="s">
        <v>3224</v>
      </c>
      <c r="D139" s="854" t="s">
        <v>551</v>
      </c>
      <c r="E139" s="854" t="s">
        <v>1556</v>
      </c>
      <c r="G139" s="856">
        <v>21144</v>
      </c>
    </row>
    <row r="140" spans="1:7" ht="15" customHeight="1" x14ac:dyDescent="0.4">
      <c r="A140" s="854" t="s">
        <v>576</v>
      </c>
      <c r="B140" s="855">
        <v>43800</v>
      </c>
      <c r="C140" s="854" t="s">
        <v>3225</v>
      </c>
      <c r="D140" s="854" t="s">
        <v>1024</v>
      </c>
      <c r="E140" s="854" t="s">
        <v>1033</v>
      </c>
      <c r="F140" s="856">
        <v>5000</v>
      </c>
    </row>
    <row r="141" spans="1:7" ht="15" customHeight="1" x14ac:dyDescent="0.4">
      <c r="A141" s="854" t="s">
        <v>576</v>
      </c>
      <c r="B141" s="855">
        <v>43805</v>
      </c>
      <c r="C141" s="854" t="s">
        <v>3226</v>
      </c>
      <c r="D141" s="854" t="s">
        <v>1385</v>
      </c>
      <c r="E141" s="854" t="s">
        <v>3238</v>
      </c>
      <c r="F141" s="856">
        <v>450</v>
      </c>
    </row>
    <row r="142" spans="1:7" ht="15" customHeight="1" x14ac:dyDescent="0.4">
      <c r="A142" s="854" t="s">
        <v>576</v>
      </c>
      <c r="B142" s="855">
        <v>43809</v>
      </c>
      <c r="C142" s="854" t="s">
        <v>3227</v>
      </c>
      <c r="D142" s="854" t="s">
        <v>1030</v>
      </c>
      <c r="E142" s="854" t="s">
        <v>3239</v>
      </c>
      <c r="F142" s="856">
        <v>21939.37</v>
      </c>
    </row>
    <row r="143" spans="1:7" ht="15" customHeight="1" x14ac:dyDescent="0.4">
      <c r="A143" s="854" t="s">
        <v>576</v>
      </c>
      <c r="B143" s="855">
        <v>43811</v>
      </c>
      <c r="C143" s="854" t="s">
        <v>3228</v>
      </c>
      <c r="D143" s="854" t="s">
        <v>3234</v>
      </c>
      <c r="E143" s="854" t="s">
        <v>3240</v>
      </c>
      <c r="F143" s="856">
        <v>2500</v>
      </c>
    </row>
    <row r="144" spans="1:7" ht="15" customHeight="1" x14ac:dyDescent="0.4">
      <c r="A144" s="854" t="s">
        <v>576</v>
      </c>
      <c r="B144" s="855">
        <v>43815</v>
      </c>
      <c r="C144" s="854" t="s">
        <v>3229</v>
      </c>
      <c r="D144" s="854" t="s">
        <v>1390</v>
      </c>
      <c r="E144" s="854" t="s">
        <v>1042</v>
      </c>
      <c r="F144" s="856">
        <v>70</v>
      </c>
    </row>
    <row r="145" spans="1:8" ht="15" customHeight="1" x14ac:dyDescent="0.4">
      <c r="A145" s="854" t="s">
        <v>576</v>
      </c>
      <c r="B145" s="855">
        <v>43816</v>
      </c>
      <c r="C145" s="854" t="s">
        <v>3230</v>
      </c>
      <c r="D145" s="854" t="s">
        <v>1025</v>
      </c>
      <c r="E145" s="854" t="s">
        <v>3241</v>
      </c>
      <c r="F145" s="856">
        <v>350</v>
      </c>
    </row>
    <row r="146" spans="1:8" ht="15" customHeight="1" x14ac:dyDescent="0.4">
      <c r="A146" s="854" t="s">
        <v>576</v>
      </c>
      <c r="B146" s="855">
        <v>43816</v>
      </c>
      <c r="C146" s="854" t="s">
        <v>3231</v>
      </c>
      <c r="D146" s="854" t="s">
        <v>1027</v>
      </c>
      <c r="E146" s="854" t="s">
        <v>3242</v>
      </c>
      <c r="F146" s="856">
        <v>70</v>
      </c>
    </row>
    <row r="147" spans="1:8" ht="15" customHeight="1" x14ac:dyDescent="0.4">
      <c r="A147" s="854" t="s">
        <v>576</v>
      </c>
      <c r="B147" s="855">
        <v>43830</v>
      </c>
      <c r="C147" s="854" t="s">
        <v>3232</v>
      </c>
      <c r="D147" s="854" t="s">
        <v>1030</v>
      </c>
      <c r="E147" s="854" t="s">
        <v>3243</v>
      </c>
      <c r="F147" s="856">
        <v>11124.21</v>
      </c>
    </row>
    <row r="148" spans="1:8" ht="15" customHeight="1" thickBot="1" x14ac:dyDescent="0.45">
      <c r="A148" s="854" t="s">
        <v>576</v>
      </c>
      <c r="B148" s="855">
        <v>43830</v>
      </c>
      <c r="C148" s="854" t="s">
        <v>3233</v>
      </c>
      <c r="D148" s="854" t="s">
        <v>1853</v>
      </c>
      <c r="E148" s="854" t="s">
        <v>3244</v>
      </c>
      <c r="F148" s="857">
        <v>370</v>
      </c>
    </row>
    <row r="149" spans="1:8" ht="15" customHeight="1" thickBot="1" x14ac:dyDescent="0.45">
      <c r="A149" s="854"/>
      <c r="B149" s="855"/>
      <c r="C149" s="854"/>
      <c r="D149" s="854"/>
      <c r="E149" s="854"/>
      <c r="F149" s="858">
        <f>SUM(F4:F148)</f>
        <v>802353.23</v>
      </c>
      <c r="G149">
        <f>SUM(G4:G148)</f>
        <v>424456</v>
      </c>
      <c r="H149" s="856">
        <f>SUM(F149:G149)</f>
        <v>1226809.23</v>
      </c>
    </row>
    <row r="150" spans="1:8" ht="15" customHeight="1" thickBot="1" x14ac:dyDescent="0.45">
      <c r="A150" s="854"/>
      <c r="B150" s="855"/>
      <c r="C150" s="854"/>
      <c r="D150" s="854"/>
      <c r="E150" s="854"/>
      <c r="F150" s="858">
        <f>F149</f>
        <v>802353.23</v>
      </c>
    </row>
    <row r="151" spans="1:8" ht="15" customHeight="1" thickBot="1" x14ac:dyDescent="0.45">
      <c r="A151" s="854"/>
      <c r="B151" s="855"/>
      <c r="C151" s="854"/>
      <c r="D151" s="854"/>
      <c r="E151" s="854"/>
      <c r="F151" s="859">
        <f>F150</f>
        <v>802353.23</v>
      </c>
    </row>
    <row r="152" spans="1:8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4:32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971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9716" r:id="rId4" name="HEADER"/>
      </mc:Fallback>
    </mc:AlternateContent>
    <mc:AlternateContent xmlns:mc="http://schemas.openxmlformats.org/markup-compatibility/2006">
      <mc:Choice Requires="x14">
        <control shapeId="2971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29715" r:id="rId6" name="FILTER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F81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E1" sqref="E1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6.3828125" style="861" bestFit="1" customWidth="1"/>
    <col min="4" max="5" width="30.69140625" style="861" customWidth="1"/>
    <col min="6" max="6" width="10.15234375" style="861" bestFit="1" customWidth="1"/>
  </cols>
  <sheetData>
    <row r="1" spans="1:6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43466</v>
      </c>
      <c r="C4" s="854" t="s">
        <v>1043</v>
      </c>
      <c r="D4" s="854" t="s">
        <v>850</v>
      </c>
      <c r="E4" s="854" t="s">
        <v>1061</v>
      </c>
      <c r="F4" s="856">
        <v>489.29</v>
      </c>
    </row>
    <row r="5" spans="1:6" ht="14.6" x14ac:dyDescent="0.4">
      <c r="A5" s="854" t="s">
        <v>576</v>
      </c>
      <c r="B5" s="855">
        <v>43466</v>
      </c>
      <c r="C5" s="854" t="s">
        <v>1044</v>
      </c>
      <c r="D5" s="854" t="s">
        <v>551</v>
      </c>
      <c r="E5" s="854" t="s">
        <v>1062</v>
      </c>
      <c r="F5" s="856">
        <v>1200</v>
      </c>
    </row>
    <row r="6" spans="1:6" ht="14.6" x14ac:dyDescent="0.4">
      <c r="A6" s="854" t="s">
        <v>576</v>
      </c>
      <c r="B6" s="855">
        <v>43466</v>
      </c>
      <c r="C6" s="854" t="s">
        <v>1044</v>
      </c>
      <c r="D6" s="854" t="s">
        <v>551</v>
      </c>
      <c r="E6" s="854" t="s">
        <v>1063</v>
      </c>
      <c r="F6" s="856">
        <v>6000</v>
      </c>
    </row>
    <row r="7" spans="1:6" ht="14.6" x14ac:dyDescent="0.4">
      <c r="A7" s="854" t="s">
        <v>576</v>
      </c>
      <c r="B7" s="855">
        <v>43466</v>
      </c>
      <c r="C7" s="854" t="s">
        <v>1045</v>
      </c>
      <c r="D7" s="854" t="s">
        <v>1055</v>
      </c>
      <c r="E7" s="854" t="s">
        <v>1064</v>
      </c>
      <c r="F7" s="856">
        <v>2893</v>
      </c>
    </row>
    <row r="8" spans="1:6" ht="14.6" x14ac:dyDescent="0.4">
      <c r="A8" s="854" t="s">
        <v>576</v>
      </c>
      <c r="B8" s="855">
        <v>43466</v>
      </c>
      <c r="C8" s="854" t="s">
        <v>1046</v>
      </c>
      <c r="D8" s="854" t="s">
        <v>1056</v>
      </c>
      <c r="E8" s="854" t="s">
        <v>1065</v>
      </c>
      <c r="F8" s="856">
        <v>4180</v>
      </c>
    </row>
    <row r="9" spans="1:6" ht="14.6" x14ac:dyDescent="0.4">
      <c r="A9" s="854" t="s">
        <v>576</v>
      </c>
      <c r="B9" s="855">
        <v>43466</v>
      </c>
      <c r="C9" s="854" t="s">
        <v>1047</v>
      </c>
      <c r="D9" s="854" t="s">
        <v>749</v>
      </c>
      <c r="E9" s="854" t="s">
        <v>1066</v>
      </c>
      <c r="F9" s="856">
        <v>112725</v>
      </c>
    </row>
    <row r="10" spans="1:6" ht="14.6" x14ac:dyDescent="0.4">
      <c r="A10" s="854" t="s">
        <v>576</v>
      </c>
      <c r="B10" s="855">
        <v>43466</v>
      </c>
      <c r="C10" s="854" t="s">
        <v>1047</v>
      </c>
      <c r="D10" s="854" t="s">
        <v>749</v>
      </c>
      <c r="E10" s="854" t="s">
        <v>1067</v>
      </c>
      <c r="F10" s="856">
        <v>3915</v>
      </c>
    </row>
    <row r="11" spans="1:6" ht="14.6" x14ac:dyDescent="0.4">
      <c r="A11" s="854" t="s">
        <v>576</v>
      </c>
      <c r="B11" s="855">
        <v>43466</v>
      </c>
      <c r="C11" s="854" t="s">
        <v>1047</v>
      </c>
      <c r="D11" s="854" t="s">
        <v>749</v>
      </c>
      <c r="E11" s="854" t="s">
        <v>1068</v>
      </c>
      <c r="F11" s="856">
        <v>1660</v>
      </c>
    </row>
    <row r="12" spans="1:6" ht="14.6" x14ac:dyDescent="0.4">
      <c r="A12" s="854" t="s">
        <v>576</v>
      </c>
      <c r="B12" s="855">
        <v>43466</v>
      </c>
      <c r="C12" s="854" t="s">
        <v>1047</v>
      </c>
      <c r="D12" s="854" t="s">
        <v>749</v>
      </c>
      <c r="E12" s="854" t="s">
        <v>1069</v>
      </c>
      <c r="F12" s="856">
        <v>3385</v>
      </c>
    </row>
    <row r="13" spans="1:6" ht="14.6" x14ac:dyDescent="0.4">
      <c r="A13" s="854" t="s">
        <v>576</v>
      </c>
      <c r="B13" s="855">
        <v>43466</v>
      </c>
      <c r="C13" s="854" t="s">
        <v>1048</v>
      </c>
      <c r="D13" s="854" t="s">
        <v>749</v>
      </c>
      <c r="E13" s="854" t="s">
        <v>1070</v>
      </c>
      <c r="F13" s="856">
        <v>2705</v>
      </c>
    </row>
    <row r="14" spans="1:6" ht="14.6" x14ac:dyDescent="0.4">
      <c r="A14" s="854" t="s">
        <v>575</v>
      </c>
      <c r="B14" s="855">
        <v>43473</v>
      </c>
      <c r="C14" s="854"/>
      <c r="D14" s="854" t="s">
        <v>1057</v>
      </c>
      <c r="E14" s="854" t="s">
        <v>1071</v>
      </c>
      <c r="F14" s="856">
        <v>18</v>
      </c>
    </row>
    <row r="15" spans="1:6" ht="14.6" x14ac:dyDescent="0.4">
      <c r="A15" s="854" t="s">
        <v>575</v>
      </c>
      <c r="B15" s="855">
        <v>43473</v>
      </c>
      <c r="C15" s="854"/>
      <c r="D15" s="854" t="s">
        <v>1057</v>
      </c>
      <c r="E15" s="854" t="s">
        <v>1072</v>
      </c>
      <c r="F15" s="856">
        <v>90</v>
      </c>
    </row>
    <row r="16" spans="1:6" ht="14.6" x14ac:dyDescent="0.4">
      <c r="A16" s="854" t="s">
        <v>575</v>
      </c>
      <c r="B16" s="855">
        <v>43473</v>
      </c>
      <c r="C16" s="854"/>
      <c r="D16" s="854" t="s">
        <v>1057</v>
      </c>
      <c r="E16" s="854" t="s">
        <v>1073</v>
      </c>
      <c r="F16" s="856">
        <v>14.56</v>
      </c>
    </row>
    <row r="17" spans="1:6" ht="14.6" x14ac:dyDescent="0.4">
      <c r="A17" s="854" t="s">
        <v>575</v>
      </c>
      <c r="B17" s="855">
        <v>43475</v>
      </c>
      <c r="C17" s="854" t="s">
        <v>1049</v>
      </c>
      <c r="D17" s="854" t="s">
        <v>1058</v>
      </c>
      <c r="E17" s="854" t="s">
        <v>1074</v>
      </c>
      <c r="F17" s="856">
        <v>0</v>
      </c>
    </row>
    <row r="18" spans="1:6" ht="14.6" x14ac:dyDescent="0.4">
      <c r="A18" s="854" t="s">
        <v>576</v>
      </c>
      <c r="B18" s="855">
        <v>43486</v>
      </c>
      <c r="C18" s="854" t="s">
        <v>1050</v>
      </c>
      <c r="D18" s="854" t="s">
        <v>850</v>
      </c>
      <c r="E18" s="854" t="s">
        <v>1061</v>
      </c>
      <c r="F18" s="856">
        <v>489.29</v>
      </c>
    </row>
    <row r="19" spans="1:6" ht="14.6" x14ac:dyDescent="0.4">
      <c r="A19" s="854" t="s">
        <v>576</v>
      </c>
      <c r="B19" s="855">
        <v>43497</v>
      </c>
      <c r="C19" s="854"/>
      <c r="D19" s="854" t="s">
        <v>1059</v>
      </c>
      <c r="E19" s="854"/>
      <c r="F19" s="856">
        <v>0</v>
      </c>
    </row>
    <row r="20" spans="1:6" ht="14.6" x14ac:dyDescent="0.4">
      <c r="A20" s="854" t="s">
        <v>576</v>
      </c>
      <c r="B20" s="855">
        <v>43497</v>
      </c>
      <c r="C20" s="854"/>
      <c r="D20" s="854" t="s">
        <v>1059</v>
      </c>
      <c r="E20" s="854" t="s">
        <v>1075</v>
      </c>
      <c r="F20" s="856">
        <v>1323</v>
      </c>
    </row>
    <row r="21" spans="1:6" ht="14.6" x14ac:dyDescent="0.4">
      <c r="A21" s="854" t="s">
        <v>575</v>
      </c>
      <c r="B21" s="855">
        <v>43503</v>
      </c>
      <c r="C21" s="854" t="s">
        <v>1051</v>
      </c>
      <c r="D21" s="854" t="s">
        <v>1060</v>
      </c>
      <c r="E21" s="854" t="s">
        <v>1076</v>
      </c>
      <c r="F21" s="856">
        <v>34.99</v>
      </c>
    </row>
    <row r="22" spans="1:6" ht="14.6" x14ac:dyDescent="0.4">
      <c r="A22" s="854" t="s">
        <v>575</v>
      </c>
      <c r="B22" s="855">
        <v>43503</v>
      </c>
      <c r="C22" s="854" t="s">
        <v>1051</v>
      </c>
      <c r="D22" s="854" t="s">
        <v>1060</v>
      </c>
      <c r="E22" s="854" t="s">
        <v>1077</v>
      </c>
      <c r="F22" s="856">
        <v>34.99</v>
      </c>
    </row>
    <row r="23" spans="1:6" ht="14.6" x14ac:dyDescent="0.4">
      <c r="A23" s="854" t="s">
        <v>575</v>
      </c>
      <c r="B23" s="855">
        <v>43503</v>
      </c>
      <c r="C23" s="854" t="s">
        <v>1051</v>
      </c>
      <c r="D23" s="854" t="s">
        <v>1060</v>
      </c>
      <c r="E23" s="854" t="s">
        <v>1078</v>
      </c>
      <c r="F23" s="856">
        <v>34.99</v>
      </c>
    </row>
    <row r="24" spans="1:6" ht="14.6" x14ac:dyDescent="0.4">
      <c r="A24" s="854" t="s">
        <v>575</v>
      </c>
      <c r="B24" s="855">
        <v>43503</v>
      </c>
      <c r="C24" s="854" t="s">
        <v>1051</v>
      </c>
      <c r="D24" s="854" t="s">
        <v>1060</v>
      </c>
      <c r="E24" s="854" t="s">
        <v>1079</v>
      </c>
      <c r="F24" s="856">
        <v>34.950000000000003</v>
      </c>
    </row>
    <row r="25" spans="1:6" ht="14.6" x14ac:dyDescent="0.4">
      <c r="A25" s="854" t="s">
        <v>575</v>
      </c>
      <c r="B25" s="855">
        <v>43503</v>
      </c>
      <c r="C25" s="854" t="s">
        <v>1051</v>
      </c>
      <c r="D25" s="854" t="s">
        <v>1060</v>
      </c>
      <c r="E25" s="854" t="s">
        <v>1080</v>
      </c>
      <c r="F25" s="856">
        <v>34.99</v>
      </c>
    </row>
    <row r="26" spans="1:6" ht="14.6" x14ac:dyDescent="0.4">
      <c r="A26" s="854" t="s">
        <v>575</v>
      </c>
      <c r="B26" s="855">
        <v>43503</v>
      </c>
      <c r="C26" s="854" t="s">
        <v>1051</v>
      </c>
      <c r="D26" s="854" t="s">
        <v>1060</v>
      </c>
      <c r="E26" s="854" t="s">
        <v>1081</v>
      </c>
      <c r="F26" s="856">
        <v>34.99</v>
      </c>
    </row>
    <row r="27" spans="1:6" ht="14.6" x14ac:dyDescent="0.4">
      <c r="A27" s="854" t="s">
        <v>575</v>
      </c>
      <c r="B27" s="855">
        <v>43503</v>
      </c>
      <c r="C27" s="854" t="s">
        <v>1051</v>
      </c>
      <c r="D27" s="854" t="s">
        <v>1060</v>
      </c>
      <c r="E27" s="854" t="s">
        <v>1082</v>
      </c>
      <c r="F27" s="856">
        <v>0</v>
      </c>
    </row>
    <row r="28" spans="1:6" ht="14.6" x14ac:dyDescent="0.4">
      <c r="A28" s="854" t="s">
        <v>575</v>
      </c>
      <c r="B28" s="855">
        <v>43503</v>
      </c>
      <c r="C28" s="854" t="s">
        <v>1051</v>
      </c>
      <c r="D28" s="854" t="s">
        <v>1060</v>
      </c>
      <c r="E28" s="854" t="s">
        <v>1083</v>
      </c>
      <c r="F28" s="856">
        <v>0</v>
      </c>
    </row>
    <row r="29" spans="1:6" ht="14.6" x14ac:dyDescent="0.4">
      <c r="A29" s="854" t="s">
        <v>575</v>
      </c>
      <c r="B29" s="855">
        <v>43503</v>
      </c>
      <c r="C29" s="854" t="s">
        <v>1052</v>
      </c>
      <c r="D29" s="854" t="s">
        <v>1060</v>
      </c>
      <c r="E29" s="854" t="s">
        <v>1082</v>
      </c>
      <c r="F29" s="856">
        <v>34.99</v>
      </c>
    </row>
    <row r="30" spans="1:6" ht="14.6" x14ac:dyDescent="0.4">
      <c r="A30" s="854" t="s">
        <v>575</v>
      </c>
      <c r="B30" s="855">
        <v>43503</v>
      </c>
      <c r="C30" s="854" t="s">
        <v>1052</v>
      </c>
      <c r="D30" s="854" t="s">
        <v>1060</v>
      </c>
      <c r="E30" s="854" t="s">
        <v>1083</v>
      </c>
      <c r="F30" s="856">
        <v>34.950000000000003</v>
      </c>
    </row>
    <row r="31" spans="1:6" ht="14.6" x14ac:dyDescent="0.4">
      <c r="A31" s="854" t="s">
        <v>575</v>
      </c>
      <c r="B31" s="855">
        <v>43508</v>
      </c>
      <c r="C31" s="854" t="s">
        <v>1053</v>
      </c>
      <c r="D31" s="854" t="s">
        <v>1060</v>
      </c>
      <c r="E31" s="854" t="s">
        <v>1084</v>
      </c>
      <c r="F31" s="856">
        <v>39.99</v>
      </c>
    </row>
    <row r="32" spans="1:6" ht="14.6" x14ac:dyDescent="0.4">
      <c r="A32" s="854" t="s">
        <v>576</v>
      </c>
      <c r="B32" s="855">
        <v>43514</v>
      </c>
      <c r="C32" s="854" t="s">
        <v>1054</v>
      </c>
      <c r="D32" s="854" t="s">
        <v>850</v>
      </c>
      <c r="E32" s="854" t="s">
        <v>1061</v>
      </c>
      <c r="F32" s="856">
        <v>489.29</v>
      </c>
    </row>
    <row r="33" spans="1:6" ht="14.6" x14ac:dyDescent="0.4">
      <c r="A33" s="854" t="s">
        <v>576</v>
      </c>
      <c r="B33" s="855">
        <v>43531</v>
      </c>
      <c r="C33" s="854" t="s">
        <v>1412</v>
      </c>
      <c r="D33" s="854" t="s">
        <v>398</v>
      </c>
      <c r="E33" s="854" t="s">
        <v>1417</v>
      </c>
      <c r="F33" s="856">
        <v>438.75</v>
      </c>
    </row>
    <row r="34" spans="1:6" ht="14.6" x14ac:dyDescent="0.4">
      <c r="A34" s="854" t="s">
        <v>576</v>
      </c>
      <c r="B34" s="855">
        <v>43535</v>
      </c>
      <c r="C34" s="854" t="s">
        <v>1413</v>
      </c>
      <c r="D34" s="854" t="s">
        <v>1055</v>
      </c>
      <c r="E34" s="854" t="s">
        <v>1418</v>
      </c>
      <c r="F34" s="856">
        <v>3000</v>
      </c>
    </row>
    <row r="35" spans="1:6" ht="14.6" x14ac:dyDescent="0.4">
      <c r="A35" s="854" t="s">
        <v>576</v>
      </c>
      <c r="B35" s="855">
        <v>43539</v>
      </c>
      <c r="C35" s="854" t="s">
        <v>1414</v>
      </c>
      <c r="D35" s="854" t="s">
        <v>1416</v>
      </c>
      <c r="E35" s="854" t="s">
        <v>1419</v>
      </c>
      <c r="F35" s="856">
        <v>9972.84</v>
      </c>
    </row>
    <row r="36" spans="1:6" ht="14.6" x14ac:dyDescent="0.4">
      <c r="A36" s="854" t="s">
        <v>576</v>
      </c>
      <c r="B36" s="855">
        <v>43542</v>
      </c>
      <c r="C36" s="854" t="s">
        <v>1415</v>
      </c>
      <c r="D36" s="854" t="s">
        <v>850</v>
      </c>
      <c r="E36" s="854" t="s">
        <v>1061</v>
      </c>
      <c r="F36" s="856">
        <v>489.29</v>
      </c>
    </row>
    <row r="37" spans="1:6" s="870" customFormat="1" ht="14.6" x14ac:dyDescent="0.4">
      <c r="A37" s="854" t="s">
        <v>1534</v>
      </c>
      <c r="B37" s="855">
        <v>43552</v>
      </c>
      <c r="C37" s="854" t="s">
        <v>1535</v>
      </c>
      <c r="D37" s="854" t="s">
        <v>1536</v>
      </c>
      <c r="E37" s="854" t="s">
        <v>1537</v>
      </c>
      <c r="F37" s="856">
        <v>-450</v>
      </c>
    </row>
    <row r="38" spans="1:6" ht="14.6" x14ac:dyDescent="0.4">
      <c r="A38" s="854" t="s">
        <v>576</v>
      </c>
      <c r="B38" s="855">
        <v>43572</v>
      </c>
      <c r="C38" s="854" t="s">
        <v>1437</v>
      </c>
      <c r="D38" s="854" t="s">
        <v>850</v>
      </c>
      <c r="E38" s="854" t="s">
        <v>1061</v>
      </c>
      <c r="F38" s="856">
        <v>538.22</v>
      </c>
    </row>
    <row r="39" spans="1:6" s="871" customFormat="1" ht="14.6" x14ac:dyDescent="0.4">
      <c r="A39" s="854" t="s">
        <v>575</v>
      </c>
      <c r="B39" s="855">
        <v>43588</v>
      </c>
      <c r="C39" s="854" t="s">
        <v>1644</v>
      </c>
      <c r="D39" s="854" t="s">
        <v>1645</v>
      </c>
      <c r="E39" s="854" t="s">
        <v>1646</v>
      </c>
      <c r="F39" s="856">
        <v>87.99</v>
      </c>
    </row>
    <row r="40" spans="1:6" ht="14.6" x14ac:dyDescent="0.4">
      <c r="A40" s="854" t="s">
        <v>576</v>
      </c>
      <c r="B40" s="855">
        <v>43606</v>
      </c>
      <c r="C40" s="854" t="s">
        <v>1858</v>
      </c>
      <c r="D40" s="854" t="s">
        <v>850</v>
      </c>
      <c r="E40" s="854" t="s">
        <v>1061</v>
      </c>
      <c r="F40" s="856">
        <v>538.22</v>
      </c>
    </row>
    <row r="41" spans="1:6" ht="14.6" x14ac:dyDescent="0.4">
      <c r="A41" s="854" t="s">
        <v>576</v>
      </c>
      <c r="B41" s="855">
        <v>43624</v>
      </c>
      <c r="C41" s="854" t="s">
        <v>1859</v>
      </c>
      <c r="D41" s="854" t="s">
        <v>398</v>
      </c>
      <c r="E41" s="854" t="s">
        <v>1417</v>
      </c>
      <c r="F41" s="856">
        <v>3640</v>
      </c>
    </row>
    <row r="42" spans="1:6" ht="14.6" x14ac:dyDescent="0.4">
      <c r="A42" s="854" t="s">
        <v>576</v>
      </c>
      <c r="B42" s="855">
        <v>43633</v>
      </c>
      <c r="C42" s="854" t="s">
        <v>1860</v>
      </c>
      <c r="D42" s="854" t="s">
        <v>850</v>
      </c>
      <c r="E42" s="854" t="s">
        <v>1061</v>
      </c>
      <c r="F42" s="856">
        <v>538.22</v>
      </c>
    </row>
    <row r="43" spans="1:6" ht="14.6" x14ac:dyDescent="0.4">
      <c r="A43" s="854" t="s">
        <v>575</v>
      </c>
      <c r="B43" s="855">
        <v>43641</v>
      </c>
      <c r="C43" s="854" t="s">
        <v>2027</v>
      </c>
      <c r="D43" s="854" t="s">
        <v>1867</v>
      </c>
      <c r="E43" s="854" t="s">
        <v>2029</v>
      </c>
      <c r="F43" s="856">
        <v>26.85</v>
      </c>
    </row>
    <row r="44" spans="1:6" ht="14.6" x14ac:dyDescent="0.4">
      <c r="A44" s="854" t="s">
        <v>576</v>
      </c>
      <c r="B44" s="855">
        <v>43648</v>
      </c>
      <c r="C44" s="854" t="s">
        <v>2028</v>
      </c>
      <c r="D44" s="854" t="s">
        <v>1867</v>
      </c>
      <c r="E44" s="854" t="s">
        <v>2030</v>
      </c>
      <c r="F44" s="856">
        <v>3022.5</v>
      </c>
    </row>
    <row r="45" spans="1:6" ht="14.6" x14ac:dyDescent="0.4">
      <c r="A45" s="854" t="s">
        <v>576</v>
      </c>
      <c r="B45" s="855">
        <v>43648</v>
      </c>
      <c r="C45" s="854" t="s">
        <v>2028</v>
      </c>
      <c r="D45" s="854" t="s">
        <v>1867</v>
      </c>
      <c r="E45" s="854" t="s">
        <v>2031</v>
      </c>
      <c r="F45" s="856">
        <v>1209</v>
      </c>
    </row>
    <row r="46" spans="1:6" ht="14.6" x14ac:dyDescent="0.4">
      <c r="A46" s="854" t="s">
        <v>576</v>
      </c>
      <c r="B46" s="855">
        <v>43648</v>
      </c>
      <c r="C46" s="854" t="s">
        <v>2028</v>
      </c>
      <c r="D46" s="854" t="s">
        <v>1867</v>
      </c>
      <c r="E46" s="854" t="s">
        <v>2032</v>
      </c>
      <c r="F46" s="856">
        <v>1511.25</v>
      </c>
    </row>
    <row r="47" spans="1:6" ht="14.6" x14ac:dyDescent="0.4">
      <c r="A47" s="854" t="s">
        <v>576</v>
      </c>
      <c r="B47" s="855">
        <v>43648</v>
      </c>
      <c r="C47" s="854" t="s">
        <v>2028</v>
      </c>
      <c r="D47" s="854" t="s">
        <v>1867</v>
      </c>
      <c r="E47" s="854" t="s">
        <v>2033</v>
      </c>
      <c r="F47" s="856">
        <v>4836</v>
      </c>
    </row>
    <row r="48" spans="1:6" ht="14.6" x14ac:dyDescent="0.4">
      <c r="A48" s="854" t="s">
        <v>576</v>
      </c>
      <c r="B48" s="855">
        <v>43648</v>
      </c>
      <c r="C48" s="854" t="s">
        <v>2028</v>
      </c>
      <c r="D48" s="854" t="s">
        <v>1867</v>
      </c>
      <c r="E48" s="854" t="s">
        <v>2034</v>
      </c>
      <c r="F48" s="856">
        <v>503.75</v>
      </c>
    </row>
    <row r="49" spans="1:6" ht="14.6" x14ac:dyDescent="0.4">
      <c r="A49" s="854" t="s">
        <v>576</v>
      </c>
      <c r="B49" s="855">
        <v>43648</v>
      </c>
      <c r="C49" s="854" t="s">
        <v>2028</v>
      </c>
      <c r="D49" s="854" t="s">
        <v>1867</v>
      </c>
      <c r="E49" s="854" t="s">
        <v>2035</v>
      </c>
      <c r="F49" s="856">
        <v>503.75</v>
      </c>
    </row>
    <row r="50" spans="1:6" ht="14.6" x14ac:dyDescent="0.4">
      <c r="A50" s="854" t="s">
        <v>576</v>
      </c>
      <c r="B50" s="855">
        <v>43648</v>
      </c>
      <c r="C50" s="854" t="s">
        <v>2028</v>
      </c>
      <c r="D50" s="854" t="s">
        <v>1867</v>
      </c>
      <c r="E50" s="854" t="s">
        <v>2036</v>
      </c>
      <c r="F50" s="856">
        <v>403</v>
      </c>
    </row>
    <row r="51" spans="1:6" ht="14.6" x14ac:dyDescent="0.4">
      <c r="A51" s="854" t="s">
        <v>576</v>
      </c>
      <c r="B51" s="855">
        <v>43648</v>
      </c>
      <c r="C51" s="854" t="s">
        <v>2028</v>
      </c>
      <c r="D51" s="854" t="s">
        <v>1867</v>
      </c>
      <c r="E51" s="854" t="s">
        <v>2037</v>
      </c>
      <c r="F51" s="856">
        <v>604.5</v>
      </c>
    </row>
    <row r="52" spans="1:6" ht="14.6" x14ac:dyDescent="0.4">
      <c r="A52" s="854" t="s">
        <v>576</v>
      </c>
      <c r="B52" s="855">
        <v>43648</v>
      </c>
      <c r="C52" s="854" t="s">
        <v>2028</v>
      </c>
      <c r="D52" s="854" t="s">
        <v>1867</v>
      </c>
      <c r="E52" s="854" t="s">
        <v>2038</v>
      </c>
      <c r="F52" s="856">
        <v>10075</v>
      </c>
    </row>
    <row r="53" spans="1:6" ht="14.6" x14ac:dyDescent="0.4">
      <c r="A53" s="854" t="s">
        <v>576</v>
      </c>
      <c r="B53" s="855">
        <v>43648</v>
      </c>
      <c r="C53" s="854" t="s">
        <v>2028</v>
      </c>
      <c r="D53" s="854" t="s">
        <v>1867</v>
      </c>
      <c r="E53" s="854" t="s">
        <v>2039</v>
      </c>
      <c r="F53" s="856">
        <v>10075</v>
      </c>
    </row>
    <row r="54" spans="1:6" ht="14.6" x14ac:dyDescent="0.4">
      <c r="A54" s="854" t="s">
        <v>576</v>
      </c>
      <c r="B54" s="855">
        <v>43648</v>
      </c>
      <c r="C54" s="854" t="s">
        <v>2028</v>
      </c>
      <c r="D54" s="854" t="s">
        <v>1867</v>
      </c>
      <c r="E54" s="854" t="s">
        <v>2040</v>
      </c>
      <c r="F54" s="856">
        <v>181.68</v>
      </c>
    </row>
    <row r="55" spans="1:6" ht="14.6" x14ac:dyDescent="0.4">
      <c r="A55" s="854" t="s">
        <v>576</v>
      </c>
      <c r="B55" s="855">
        <v>43648</v>
      </c>
      <c r="C55" s="854" t="s">
        <v>2028</v>
      </c>
      <c r="D55" s="854" t="s">
        <v>1867</v>
      </c>
      <c r="E55" s="854" t="s">
        <v>2029</v>
      </c>
      <c r="F55" s="856">
        <v>98.74</v>
      </c>
    </row>
    <row r="56" spans="1:6" ht="14.6" x14ac:dyDescent="0.4">
      <c r="A56" s="854" t="s">
        <v>576</v>
      </c>
      <c r="B56" s="855">
        <v>43648</v>
      </c>
      <c r="C56" s="854" t="s">
        <v>2028</v>
      </c>
      <c r="D56" s="854" t="s">
        <v>1867</v>
      </c>
      <c r="E56" s="854" t="s">
        <v>2041</v>
      </c>
      <c r="F56" s="856">
        <v>492.67</v>
      </c>
    </row>
    <row r="57" spans="1:6" ht="14.6" x14ac:dyDescent="0.4">
      <c r="A57" s="854" t="s">
        <v>576</v>
      </c>
      <c r="B57" s="855">
        <v>43669</v>
      </c>
      <c r="C57" s="854" t="s">
        <v>2437</v>
      </c>
      <c r="D57" s="854" t="s">
        <v>850</v>
      </c>
      <c r="E57" s="854" t="s">
        <v>1061</v>
      </c>
      <c r="F57" s="856">
        <v>538.22</v>
      </c>
    </row>
    <row r="58" spans="1:6" ht="14.6" x14ac:dyDescent="0.4">
      <c r="A58" s="854" t="s">
        <v>576</v>
      </c>
      <c r="B58" s="855">
        <v>43696</v>
      </c>
      <c r="C58" s="854" t="s">
        <v>2438</v>
      </c>
      <c r="D58" s="854" t="s">
        <v>850</v>
      </c>
      <c r="E58" s="854" t="s">
        <v>1061</v>
      </c>
      <c r="F58" s="856">
        <v>538.22</v>
      </c>
    </row>
    <row r="59" spans="1:6" ht="14.6" x14ac:dyDescent="0.4">
      <c r="A59" s="854" t="s">
        <v>575</v>
      </c>
      <c r="B59" s="855">
        <v>43720</v>
      </c>
      <c r="C59" s="854" t="s">
        <v>2741</v>
      </c>
      <c r="D59" s="854" t="s">
        <v>2745</v>
      </c>
      <c r="E59" s="854" t="s">
        <v>2747</v>
      </c>
      <c r="F59" s="856">
        <v>79.989999999999995</v>
      </c>
    </row>
    <row r="60" spans="1:6" ht="14.6" x14ac:dyDescent="0.4">
      <c r="A60" s="854" t="s">
        <v>576</v>
      </c>
      <c r="B60" s="855">
        <v>43726</v>
      </c>
      <c r="C60" s="854" t="s">
        <v>2439</v>
      </c>
      <c r="D60" s="854" t="s">
        <v>850</v>
      </c>
      <c r="E60" s="854" t="s">
        <v>1061</v>
      </c>
      <c r="F60" s="856">
        <v>538.22</v>
      </c>
    </row>
    <row r="61" spans="1:6" ht="14.6" x14ac:dyDescent="0.4">
      <c r="A61" s="854" t="s">
        <v>575</v>
      </c>
      <c r="B61" s="855">
        <v>43727</v>
      </c>
      <c r="C61" s="854" t="s">
        <v>2742</v>
      </c>
      <c r="D61" s="854" t="s">
        <v>1060</v>
      </c>
      <c r="E61" s="854" t="s">
        <v>2748</v>
      </c>
      <c r="F61" s="856">
        <v>119.97</v>
      </c>
    </row>
    <row r="62" spans="1:6" ht="14.6" x14ac:dyDescent="0.4">
      <c r="A62" s="854" t="s">
        <v>576</v>
      </c>
      <c r="B62" s="855">
        <v>43739</v>
      </c>
      <c r="C62" s="854" t="s">
        <v>2982</v>
      </c>
      <c r="D62" s="854" t="s">
        <v>2988</v>
      </c>
      <c r="E62" s="854" t="s">
        <v>2993</v>
      </c>
      <c r="F62" s="856">
        <v>5760</v>
      </c>
    </row>
    <row r="63" spans="1:6" ht="14.6" x14ac:dyDescent="0.4">
      <c r="A63" s="854" t="s">
        <v>575</v>
      </c>
      <c r="B63" s="855">
        <v>43741</v>
      </c>
      <c r="C63" s="854" t="s">
        <v>2743</v>
      </c>
      <c r="D63" s="854" t="s">
        <v>1645</v>
      </c>
      <c r="E63" s="854" t="s">
        <v>2749</v>
      </c>
      <c r="F63" s="856">
        <v>600</v>
      </c>
    </row>
    <row r="64" spans="1:6" ht="14.6" x14ac:dyDescent="0.4">
      <c r="A64" s="854" t="s">
        <v>575</v>
      </c>
      <c r="B64" s="855">
        <v>43741</v>
      </c>
      <c r="C64" s="854" t="s">
        <v>2743</v>
      </c>
      <c r="D64" s="854" t="s">
        <v>1645</v>
      </c>
      <c r="E64" s="854" t="s">
        <v>2750</v>
      </c>
      <c r="F64" s="856">
        <v>650</v>
      </c>
    </row>
    <row r="65" spans="1:6" ht="14.6" x14ac:dyDescent="0.4">
      <c r="A65" s="854" t="s">
        <v>576</v>
      </c>
      <c r="B65" s="855">
        <v>43752</v>
      </c>
      <c r="C65" s="854" t="s">
        <v>2744</v>
      </c>
      <c r="D65" s="854" t="s">
        <v>1416</v>
      </c>
      <c r="E65" s="854" t="s">
        <v>2751</v>
      </c>
      <c r="F65" s="856">
        <v>189.15</v>
      </c>
    </row>
    <row r="66" spans="1:6" ht="14.6" x14ac:dyDescent="0.4">
      <c r="A66" s="854" t="s">
        <v>575</v>
      </c>
      <c r="B66" s="855">
        <v>43761</v>
      </c>
      <c r="C66" s="854"/>
      <c r="D66" s="854" t="s">
        <v>2746</v>
      </c>
      <c r="E66" s="854" t="s">
        <v>2752</v>
      </c>
      <c r="F66" s="856">
        <v>1575</v>
      </c>
    </row>
    <row r="67" spans="1:6" ht="14.6" x14ac:dyDescent="0.4">
      <c r="A67" s="854" t="s">
        <v>575</v>
      </c>
      <c r="B67" s="855">
        <v>43761</v>
      </c>
      <c r="C67" s="854"/>
      <c r="D67" s="854" t="s">
        <v>2746</v>
      </c>
      <c r="E67" s="854" t="s">
        <v>2753</v>
      </c>
      <c r="F67" s="856">
        <v>500</v>
      </c>
    </row>
    <row r="68" spans="1:6" ht="14.6" x14ac:dyDescent="0.4">
      <c r="A68" s="854" t="s">
        <v>576</v>
      </c>
      <c r="B68" s="855">
        <v>43766</v>
      </c>
      <c r="C68" s="854" t="s">
        <v>2983</v>
      </c>
      <c r="D68" s="854" t="s">
        <v>1055</v>
      </c>
      <c r="E68" s="854" t="s">
        <v>2989</v>
      </c>
      <c r="F68" s="856">
        <v>742</v>
      </c>
    </row>
    <row r="69" spans="1:6" ht="14.6" x14ac:dyDescent="0.4">
      <c r="A69" s="854" t="s">
        <v>576</v>
      </c>
      <c r="B69" s="855">
        <v>43766</v>
      </c>
      <c r="C69" s="854" t="s">
        <v>2983</v>
      </c>
      <c r="D69" s="854" t="s">
        <v>1055</v>
      </c>
      <c r="E69" s="854" t="s">
        <v>2990</v>
      </c>
      <c r="F69" s="856">
        <v>1857</v>
      </c>
    </row>
    <row r="70" spans="1:6" ht="14.6" x14ac:dyDescent="0.4">
      <c r="A70" s="854" t="s">
        <v>576</v>
      </c>
      <c r="B70" s="855">
        <v>43767</v>
      </c>
      <c r="C70" s="854" t="s">
        <v>2984</v>
      </c>
      <c r="D70" s="854" t="s">
        <v>850</v>
      </c>
      <c r="E70" s="854" t="s">
        <v>1061</v>
      </c>
      <c r="F70" s="856">
        <v>538.22</v>
      </c>
    </row>
    <row r="71" spans="1:6" ht="14.6" x14ac:dyDescent="0.4">
      <c r="A71" s="854" t="s">
        <v>576</v>
      </c>
      <c r="B71" s="855">
        <v>43770</v>
      </c>
      <c r="C71" s="854" t="s">
        <v>3245</v>
      </c>
      <c r="D71" s="854" t="s">
        <v>3249</v>
      </c>
      <c r="E71" s="854" t="s">
        <v>3250</v>
      </c>
      <c r="F71" s="856">
        <v>1943</v>
      </c>
    </row>
    <row r="72" spans="1:6" ht="14.6" x14ac:dyDescent="0.4">
      <c r="A72" s="854" t="s">
        <v>575</v>
      </c>
      <c r="B72" s="855">
        <v>43778</v>
      </c>
      <c r="C72" s="854" t="s">
        <v>2985</v>
      </c>
      <c r="D72" s="854" t="s">
        <v>1645</v>
      </c>
      <c r="E72" s="854" t="s">
        <v>2991</v>
      </c>
      <c r="F72" s="856">
        <v>299.95</v>
      </c>
    </row>
    <row r="73" spans="1:6" ht="14.6" x14ac:dyDescent="0.4">
      <c r="A73" s="854" t="s">
        <v>576</v>
      </c>
      <c r="B73" s="855">
        <v>43787</v>
      </c>
      <c r="C73" s="854" t="s">
        <v>2986</v>
      </c>
      <c r="D73" s="854" t="s">
        <v>850</v>
      </c>
      <c r="E73" s="854" t="s">
        <v>1061</v>
      </c>
      <c r="F73" s="856">
        <v>538.22</v>
      </c>
    </row>
    <row r="74" spans="1:6" ht="14.6" x14ac:dyDescent="0.4">
      <c r="A74" s="854" t="s">
        <v>576</v>
      </c>
      <c r="B74" s="855">
        <v>43788</v>
      </c>
      <c r="C74" s="854" t="s">
        <v>2987</v>
      </c>
      <c r="D74" s="854" t="s">
        <v>1095</v>
      </c>
      <c r="E74" s="854" t="s">
        <v>2992</v>
      </c>
      <c r="F74" s="856">
        <v>6499.95</v>
      </c>
    </row>
    <row r="75" spans="1:6" ht="14.6" x14ac:dyDescent="0.4">
      <c r="A75" s="854" t="s">
        <v>575</v>
      </c>
      <c r="B75" s="855">
        <v>43808</v>
      </c>
      <c r="C75" s="854" t="s">
        <v>3246</v>
      </c>
      <c r="D75" s="854" t="s">
        <v>1060</v>
      </c>
      <c r="E75" s="854" t="s">
        <v>3251</v>
      </c>
      <c r="F75" s="856">
        <v>319.92</v>
      </c>
    </row>
    <row r="76" spans="1:6" ht="14.6" x14ac:dyDescent="0.4">
      <c r="A76" s="854" t="s">
        <v>576</v>
      </c>
      <c r="B76" s="855">
        <v>43818</v>
      </c>
      <c r="C76" s="854" t="s">
        <v>3247</v>
      </c>
      <c r="D76" s="854" t="s">
        <v>850</v>
      </c>
      <c r="E76" s="854" t="s">
        <v>1061</v>
      </c>
      <c r="F76" s="856">
        <v>538.22</v>
      </c>
    </row>
    <row r="77" spans="1:6" thickBot="1" x14ac:dyDescent="0.45">
      <c r="A77" s="854" t="s">
        <v>575</v>
      </c>
      <c r="B77" s="855">
        <v>43829</v>
      </c>
      <c r="C77" s="854" t="s">
        <v>3248</v>
      </c>
      <c r="D77" s="854" t="s">
        <v>1060</v>
      </c>
      <c r="E77" s="854" t="s">
        <v>3251</v>
      </c>
      <c r="F77" s="857">
        <v>15.99</v>
      </c>
    </row>
    <row r="78" spans="1:6" ht="15" customHeight="1" thickBot="1" x14ac:dyDescent="0.45">
      <c r="A78" s="854"/>
      <c r="B78" s="855"/>
      <c r="C78" s="854"/>
      <c r="D78" s="854"/>
      <c r="E78" s="854"/>
      <c r="F78" s="858">
        <f>ROUND(SUM(F3:F77),5)</f>
        <v>218614.72</v>
      </c>
    </row>
    <row r="79" spans="1:6" ht="15" customHeight="1" thickBot="1" x14ac:dyDescent="0.45">
      <c r="A79" s="854"/>
      <c r="B79" s="855"/>
      <c r="C79" s="854"/>
      <c r="D79" s="854"/>
      <c r="E79" s="854"/>
      <c r="F79" s="858">
        <f>F78</f>
        <v>218614.72</v>
      </c>
    </row>
    <row r="80" spans="1:6" ht="15" customHeight="1" thickBot="1" x14ac:dyDescent="0.45">
      <c r="A80" s="854"/>
      <c r="B80" s="855"/>
      <c r="C80" s="854"/>
      <c r="D80" s="854"/>
      <c r="E80" s="854"/>
      <c r="F80" s="859">
        <f>F79</f>
        <v>218614.72</v>
      </c>
    </row>
    <row r="8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4:36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278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32786" r:id="rId4" name="HEADER"/>
      </mc:Fallback>
    </mc:AlternateContent>
    <mc:AlternateContent xmlns:mc="http://schemas.openxmlformats.org/markup-compatibility/2006">
      <mc:Choice Requires="x14">
        <control shapeId="3278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32785" r:id="rId6" name="FILTER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/>
  <dimension ref="A1:H97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E18" sqref="E18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4.69140625" style="861" bestFit="1" customWidth="1"/>
    <col min="4" max="4" width="21.15234375" style="861" bestFit="1" customWidth="1"/>
    <col min="5" max="5" width="91" style="861" bestFit="1" customWidth="1"/>
    <col min="6" max="6" width="10.15234375" style="861" bestFit="1" customWidth="1"/>
  </cols>
  <sheetData>
    <row r="1" spans="1:7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7" thickTop="1" x14ac:dyDescent="0.4">
      <c r="A2" s="854"/>
      <c r="B2" s="855"/>
      <c r="C2" s="854"/>
      <c r="D2" s="854"/>
      <c r="E2" s="854"/>
      <c r="F2" s="856"/>
    </row>
    <row r="3" spans="1:7" ht="14.6" x14ac:dyDescent="0.4">
      <c r="A3" s="854"/>
      <c r="B3" s="855"/>
      <c r="C3" s="854"/>
      <c r="D3" s="854"/>
      <c r="E3" s="854"/>
      <c r="F3" s="856"/>
    </row>
    <row r="4" spans="1:7" ht="14.6" x14ac:dyDescent="0.4">
      <c r="A4" s="854" t="s">
        <v>576</v>
      </c>
      <c r="B4" s="855">
        <v>43468</v>
      </c>
      <c r="C4" s="854" t="s">
        <v>1086</v>
      </c>
      <c r="D4" s="854" t="s">
        <v>1093</v>
      </c>
      <c r="E4" s="854" t="s">
        <v>1653</v>
      </c>
      <c r="G4" s="856">
        <v>4125</v>
      </c>
    </row>
    <row r="5" spans="1:7" ht="14.6" x14ac:dyDescent="0.4">
      <c r="A5" s="854" t="s">
        <v>1085</v>
      </c>
      <c r="B5" s="855">
        <v>43469</v>
      </c>
      <c r="C5" s="854"/>
      <c r="D5" s="854" t="s">
        <v>1094</v>
      </c>
      <c r="E5" s="854" t="s">
        <v>1423</v>
      </c>
      <c r="F5" s="856">
        <v>923.26</v>
      </c>
    </row>
    <row r="6" spans="1:7" ht="14.6" x14ac:dyDescent="0.4">
      <c r="A6" s="854" t="s">
        <v>575</v>
      </c>
      <c r="B6" s="855">
        <v>43474</v>
      </c>
      <c r="C6" s="854"/>
      <c r="D6" s="854" t="s">
        <v>1095</v>
      </c>
      <c r="E6" s="854" t="s">
        <v>1101</v>
      </c>
      <c r="F6" s="856">
        <v>219.77</v>
      </c>
    </row>
    <row r="7" spans="1:7" ht="14.6" x14ac:dyDescent="0.4">
      <c r="A7" s="854" t="s">
        <v>575</v>
      </c>
      <c r="B7" s="855">
        <v>43475</v>
      </c>
      <c r="C7" s="854" t="s">
        <v>1049</v>
      </c>
      <c r="D7" s="854" t="s">
        <v>1058</v>
      </c>
      <c r="E7" s="854" t="s">
        <v>1102</v>
      </c>
      <c r="F7" s="856">
        <v>8</v>
      </c>
    </row>
    <row r="8" spans="1:7" ht="14.6" x14ac:dyDescent="0.4">
      <c r="A8" s="854" t="s">
        <v>575</v>
      </c>
      <c r="B8" s="855">
        <v>43475</v>
      </c>
      <c r="C8" s="854" t="s">
        <v>1087</v>
      </c>
      <c r="D8" s="854" t="s">
        <v>1096</v>
      </c>
      <c r="E8" s="854" t="s">
        <v>1103</v>
      </c>
      <c r="F8" s="856">
        <v>42.22</v>
      </c>
    </row>
    <row r="9" spans="1:7" ht="14.6" x14ac:dyDescent="0.4">
      <c r="A9" s="854" t="s">
        <v>575</v>
      </c>
      <c r="B9" s="855">
        <v>43476</v>
      </c>
      <c r="C9" s="854"/>
      <c r="D9" s="854" t="s">
        <v>440</v>
      </c>
      <c r="E9" s="854" t="s">
        <v>1110</v>
      </c>
      <c r="F9" s="856">
        <v>239.85</v>
      </c>
    </row>
    <row r="10" spans="1:7" ht="14.6" x14ac:dyDescent="0.4">
      <c r="A10" s="854" t="s">
        <v>1085</v>
      </c>
      <c r="B10" s="855">
        <v>43483</v>
      </c>
      <c r="C10" s="854"/>
      <c r="D10" s="854" t="s">
        <v>1094</v>
      </c>
      <c r="E10" s="854" t="s">
        <v>1108</v>
      </c>
      <c r="F10" s="856">
        <v>1119</v>
      </c>
    </row>
    <row r="11" spans="1:7" ht="14.6" x14ac:dyDescent="0.4">
      <c r="A11" s="854" t="s">
        <v>575</v>
      </c>
      <c r="B11" s="855">
        <v>43484</v>
      </c>
      <c r="C11" s="854"/>
      <c r="D11" s="854" t="s">
        <v>1097</v>
      </c>
      <c r="E11" s="854" t="s">
        <v>1104</v>
      </c>
      <c r="F11" s="856">
        <v>303.2</v>
      </c>
    </row>
    <row r="12" spans="1:7" ht="14.6" x14ac:dyDescent="0.4">
      <c r="A12" s="854" t="s">
        <v>575</v>
      </c>
      <c r="B12" s="855">
        <v>43488</v>
      </c>
      <c r="C12" s="854" t="s">
        <v>1088</v>
      </c>
      <c r="D12" s="854" t="s">
        <v>1098</v>
      </c>
      <c r="E12" s="854" t="s">
        <v>1105</v>
      </c>
      <c r="F12" s="856">
        <v>250</v>
      </c>
    </row>
    <row r="13" spans="1:7" ht="14.6" x14ac:dyDescent="0.4">
      <c r="A13" s="854" t="s">
        <v>575</v>
      </c>
      <c r="B13" s="855">
        <v>43490</v>
      </c>
      <c r="C13" s="854" t="s">
        <v>1049</v>
      </c>
      <c r="D13" s="854" t="s">
        <v>1058</v>
      </c>
      <c r="E13" s="854" t="s">
        <v>1106</v>
      </c>
      <c r="F13" s="856">
        <v>1363.04</v>
      </c>
    </row>
    <row r="14" spans="1:7" ht="14.6" x14ac:dyDescent="0.4">
      <c r="A14" s="854" t="s">
        <v>1085</v>
      </c>
      <c r="B14" s="855">
        <v>43497</v>
      </c>
      <c r="C14" s="854"/>
      <c r="D14" s="854" t="s">
        <v>1094</v>
      </c>
      <c r="E14" s="854" t="s">
        <v>1423</v>
      </c>
      <c r="F14" s="856">
        <v>923.26</v>
      </c>
    </row>
    <row r="15" spans="1:7" ht="14.6" x14ac:dyDescent="0.4">
      <c r="A15" s="854" t="s">
        <v>576</v>
      </c>
      <c r="B15" s="855">
        <v>43497</v>
      </c>
      <c r="C15" s="854" t="s">
        <v>1089</v>
      </c>
      <c r="D15" s="854" t="s">
        <v>1093</v>
      </c>
      <c r="E15" s="854" t="s">
        <v>1653</v>
      </c>
      <c r="G15" s="856">
        <v>4125</v>
      </c>
    </row>
    <row r="16" spans="1:7" ht="14.6" x14ac:dyDescent="0.4">
      <c r="A16" s="854" t="s">
        <v>576</v>
      </c>
      <c r="B16" s="855">
        <v>43500</v>
      </c>
      <c r="C16" s="854" t="s">
        <v>1420</v>
      </c>
      <c r="D16" s="854" t="s">
        <v>1095</v>
      </c>
      <c r="E16" s="854" t="s">
        <v>1424</v>
      </c>
      <c r="F16" s="856">
        <v>1629.99</v>
      </c>
    </row>
    <row r="17" spans="1:7" ht="14.6" x14ac:dyDescent="0.4">
      <c r="A17" s="854" t="s">
        <v>576</v>
      </c>
      <c r="B17" s="855">
        <v>43500</v>
      </c>
      <c r="C17" s="854"/>
      <c r="D17" s="854" t="s">
        <v>1095</v>
      </c>
      <c r="E17" s="893" t="s">
        <v>3271</v>
      </c>
      <c r="F17" s="856">
        <v>15999.99</v>
      </c>
    </row>
    <row r="18" spans="1:7" ht="14.6" x14ac:dyDescent="0.4">
      <c r="A18" s="854" t="s">
        <v>575</v>
      </c>
      <c r="B18" s="855">
        <v>43505</v>
      </c>
      <c r="C18" s="854"/>
      <c r="D18" s="854" t="s">
        <v>1095</v>
      </c>
      <c r="E18" s="854" t="s">
        <v>1101</v>
      </c>
      <c r="F18" s="856">
        <v>219.77</v>
      </c>
    </row>
    <row r="19" spans="1:7" ht="14.6" x14ac:dyDescent="0.4">
      <c r="A19" s="854" t="s">
        <v>575</v>
      </c>
      <c r="B19" s="855">
        <v>43507</v>
      </c>
      <c r="C19" s="854"/>
      <c r="D19" s="854" t="s">
        <v>440</v>
      </c>
      <c r="E19" s="854" t="s">
        <v>1110</v>
      </c>
      <c r="F19" s="856">
        <v>239.85</v>
      </c>
    </row>
    <row r="20" spans="1:7" ht="14.6" x14ac:dyDescent="0.4">
      <c r="A20" s="854" t="s">
        <v>575</v>
      </c>
      <c r="B20" s="855">
        <v>43515</v>
      </c>
      <c r="C20" s="854"/>
      <c r="D20" s="854" t="s">
        <v>1097</v>
      </c>
      <c r="E20" s="854" t="s">
        <v>1104</v>
      </c>
      <c r="F20" s="856">
        <v>303.2</v>
      </c>
    </row>
    <row r="21" spans="1:7" ht="14.6" x14ac:dyDescent="0.4">
      <c r="A21" s="854" t="s">
        <v>575</v>
      </c>
      <c r="B21" s="855">
        <v>43515</v>
      </c>
      <c r="C21" s="854" t="s">
        <v>1090</v>
      </c>
      <c r="D21" s="854" t="s">
        <v>1099</v>
      </c>
      <c r="E21" s="854" t="s">
        <v>1107</v>
      </c>
      <c r="F21" s="856">
        <v>9.9499999999999993</v>
      </c>
    </row>
    <row r="22" spans="1:7" ht="14.6" x14ac:dyDescent="0.4">
      <c r="A22" s="854" t="s">
        <v>1085</v>
      </c>
      <c r="B22" s="855">
        <v>43525</v>
      </c>
      <c r="C22" s="854"/>
      <c r="D22" s="854" t="s">
        <v>1094</v>
      </c>
      <c r="E22" s="854" t="s">
        <v>1423</v>
      </c>
      <c r="F22" s="856">
        <v>923.26</v>
      </c>
    </row>
    <row r="23" spans="1:7" ht="14.6" x14ac:dyDescent="0.4">
      <c r="A23" s="854" t="s">
        <v>575</v>
      </c>
      <c r="B23" s="855">
        <v>43529</v>
      </c>
      <c r="C23" s="854" t="s">
        <v>1091</v>
      </c>
      <c r="D23" s="854" t="s">
        <v>1100</v>
      </c>
      <c r="E23" s="854" t="s">
        <v>1109</v>
      </c>
      <c r="F23" s="856">
        <v>2400</v>
      </c>
    </row>
    <row r="24" spans="1:7" ht="14.6" x14ac:dyDescent="0.4">
      <c r="A24" s="854" t="s">
        <v>576</v>
      </c>
      <c r="B24" s="855">
        <v>43530</v>
      </c>
      <c r="C24" s="854" t="s">
        <v>1092</v>
      </c>
      <c r="D24" s="854" t="s">
        <v>1093</v>
      </c>
      <c r="E24" s="854" t="s">
        <v>1653</v>
      </c>
      <c r="G24" s="856">
        <v>3162.5</v>
      </c>
    </row>
    <row r="25" spans="1:7" ht="14.6" x14ac:dyDescent="0.4">
      <c r="A25" s="854" t="s">
        <v>576</v>
      </c>
      <c r="B25" s="855">
        <v>43530</v>
      </c>
      <c r="C25" s="854" t="s">
        <v>1092</v>
      </c>
      <c r="D25" s="854" t="s">
        <v>1093</v>
      </c>
      <c r="E25" s="854" t="s">
        <v>1111</v>
      </c>
      <c r="F25" s="856">
        <v>962.5</v>
      </c>
    </row>
    <row r="26" spans="1:7" ht="14.6" x14ac:dyDescent="0.4">
      <c r="A26" s="854" t="s">
        <v>575</v>
      </c>
      <c r="B26" s="855">
        <v>43533</v>
      </c>
      <c r="C26" s="854"/>
      <c r="D26" s="854" t="s">
        <v>1095</v>
      </c>
      <c r="E26" s="854" t="s">
        <v>1101</v>
      </c>
      <c r="F26" s="856">
        <v>219.77</v>
      </c>
    </row>
    <row r="27" spans="1:7" ht="14.6" x14ac:dyDescent="0.4">
      <c r="A27" s="854" t="s">
        <v>575</v>
      </c>
      <c r="B27" s="855">
        <v>43535</v>
      </c>
      <c r="C27" s="854"/>
      <c r="D27" s="854" t="s">
        <v>440</v>
      </c>
      <c r="E27" s="854" t="s">
        <v>1110</v>
      </c>
      <c r="F27" s="856">
        <v>239.85</v>
      </c>
    </row>
    <row r="28" spans="1:7" ht="14.6" x14ac:dyDescent="0.4">
      <c r="A28" s="854" t="s">
        <v>575</v>
      </c>
      <c r="B28" s="855">
        <v>43543</v>
      </c>
      <c r="C28" s="854"/>
      <c r="D28" s="854" t="s">
        <v>1097</v>
      </c>
      <c r="E28" s="854" t="s">
        <v>1104</v>
      </c>
      <c r="F28" s="856">
        <v>303.2</v>
      </c>
    </row>
    <row r="29" spans="1:7" ht="14.6" x14ac:dyDescent="0.4">
      <c r="A29" s="854" t="s">
        <v>575</v>
      </c>
      <c r="B29" s="855">
        <v>43544</v>
      </c>
      <c r="C29" s="854" t="s">
        <v>1421</v>
      </c>
      <c r="D29" s="854" t="s">
        <v>1097</v>
      </c>
      <c r="E29" s="854" t="s">
        <v>1425</v>
      </c>
      <c r="F29" s="856">
        <v>1890</v>
      </c>
    </row>
    <row r="30" spans="1:7" ht="14.6" x14ac:dyDescent="0.4">
      <c r="A30" s="854" t="s">
        <v>576</v>
      </c>
      <c r="B30" s="855">
        <v>43556</v>
      </c>
      <c r="C30" s="854" t="s">
        <v>1422</v>
      </c>
      <c r="D30" s="854" t="s">
        <v>1093</v>
      </c>
      <c r="E30" s="854" t="s">
        <v>1111</v>
      </c>
      <c r="F30" s="856">
        <v>5041.67</v>
      </c>
    </row>
    <row r="31" spans="1:7" ht="14.6" x14ac:dyDescent="0.4">
      <c r="A31" s="854" t="s">
        <v>575</v>
      </c>
      <c r="B31" s="855">
        <v>43564</v>
      </c>
      <c r="C31" s="854"/>
      <c r="D31" s="854" t="s">
        <v>1095</v>
      </c>
      <c r="E31" s="854" t="s">
        <v>1101</v>
      </c>
      <c r="F31" s="856">
        <v>219.77</v>
      </c>
    </row>
    <row r="32" spans="1:7" ht="14.6" x14ac:dyDescent="0.4">
      <c r="A32" s="854" t="s">
        <v>575</v>
      </c>
      <c r="B32" s="855">
        <v>43566</v>
      </c>
      <c r="C32" s="854" t="s">
        <v>1538</v>
      </c>
      <c r="D32" s="854" t="s">
        <v>1539</v>
      </c>
      <c r="E32" s="854" t="s">
        <v>1540</v>
      </c>
      <c r="F32" s="856">
        <v>4464.72</v>
      </c>
    </row>
    <row r="33" spans="1:6" ht="14.6" x14ac:dyDescent="0.4">
      <c r="A33" s="854" t="s">
        <v>1085</v>
      </c>
      <c r="B33" s="855">
        <v>43567</v>
      </c>
      <c r="C33" s="854"/>
      <c r="D33" s="854" t="s">
        <v>1094</v>
      </c>
      <c r="E33" s="854" t="s">
        <v>1426</v>
      </c>
      <c r="F33" s="856">
        <v>923.26</v>
      </c>
    </row>
    <row r="34" spans="1:6" ht="14.6" x14ac:dyDescent="0.4">
      <c r="A34" s="854" t="s">
        <v>575</v>
      </c>
      <c r="B34" s="855">
        <v>43573</v>
      </c>
      <c r="C34" s="854" t="s">
        <v>1861</v>
      </c>
      <c r="D34" s="854" t="s">
        <v>1097</v>
      </c>
      <c r="E34" s="854" t="s">
        <v>1104</v>
      </c>
      <c r="F34" s="856">
        <v>303.2</v>
      </c>
    </row>
    <row r="35" spans="1:6" ht="14.6" x14ac:dyDescent="0.4">
      <c r="A35" s="854" t="s">
        <v>575</v>
      </c>
      <c r="B35" s="855">
        <v>43579</v>
      </c>
      <c r="C35" s="854" t="s">
        <v>1647</v>
      </c>
      <c r="D35" s="854" t="s">
        <v>1097</v>
      </c>
      <c r="E35" s="854" t="s">
        <v>1104</v>
      </c>
      <c r="F35" s="856">
        <v>272.13</v>
      </c>
    </row>
    <row r="36" spans="1:6" ht="14.6" x14ac:dyDescent="0.4">
      <c r="A36" s="854" t="s">
        <v>575</v>
      </c>
      <c r="B36" s="855">
        <v>43584</v>
      </c>
      <c r="C36" s="854" t="s">
        <v>1648</v>
      </c>
      <c r="D36" s="854" t="s">
        <v>1650</v>
      </c>
      <c r="E36" s="854" t="s">
        <v>1651</v>
      </c>
      <c r="F36" s="856">
        <v>12</v>
      </c>
    </row>
    <row r="37" spans="1:6" ht="14.6" x14ac:dyDescent="0.4">
      <c r="A37" s="854" t="s">
        <v>575</v>
      </c>
      <c r="B37" s="855">
        <v>43584</v>
      </c>
      <c r="C37" s="854" t="s">
        <v>1648</v>
      </c>
      <c r="D37" s="854" t="s">
        <v>1650</v>
      </c>
      <c r="E37" s="854" t="s">
        <v>1652</v>
      </c>
      <c r="F37" s="856">
        <v>0.99</v>
      </c>
    </row>
    <row r="38" spans="1:6" ht="14.6" x14ac:dyDescent="0.4">
      <c r="A38" s="854" t="s">
        <v>575</v>
      </c>
      <c r="B38" s="855">
        <v>43594</v>
      </c>
      <c r="C38" s="854"/>
      <c r="D38" s="854" t="s">
        <v>1095</v>
      </c>
      <c r="E38" s="854" t="s">
        <v>1101</v>
      </c>
      <c r="F38" s="856">
        <v>219.77</v>
      </c>
    </row>
    <row r="39" spans="1:6" ht="14.6" x14ac:dyDescent="0.4">
      <c r="A39" s="854" t="s">
        <v>1085</v>
      </c>
      <c r="B39" s="855">
        <v>43595</v>
      </c>
      <c r="C39" s="854"/>
      <c r="D39" s="854" t="s">
        <v>1094</v>
      </c>
      <c r="E39" s="854" t="s">
        <v>1423</v>
      </c>
      <c r="F39" s="856">
        <v>923.26</v>
      </c>
    </row>
    <row r="40" spans="1:6" ht="14.6" x14ac:dyDescent="0.4">
      <c r="A40" s="854" t="s">
        <v>576</v>
      </c>
      <c r="B40" s="855">
        <v>43598</v>
      </c>
      <c r="C40" s="854" t="s">
        <v>1649</v>
      </c>
      <c r="D40" s="854" t="s">
        <v>1093</v>
      </c>
      <c r="E40" s="854" t="s">
        <v>1111</v>
      </c>
      <c r="F40" s="856">
        <v>5041.67</v>
      </c>
    </row>
    <row r="41" spans="1:6" ht="14.6" x14ac:dyDescent="0.4">
      <c r="A41" s="854" t="s">
        <v>575</v>
      </c>
      <c r="B41" s="855">
        <v>43604</v>
      </c>
      <c r="C41" s="854"/>
      <c r="D41" s="854" t="s">
        <v>1097</v>
      </c>
      <c r="E41" s="854" t="s">
        <v>1104</v>
      </c>
      <c r="F41" s="856">
        <v>303.2</v>
      </c>
    </row>
    <row r="42" spans="1:6" ht="14.6" x14ac:dyDescent="0.4">
      <c r="A42" s="854" t="s">
        <v>576</v>
      </c>
      <c r="B42" s="855">
        <v>43606</v>
      </c>
      <c r="C42" s="854" t="s">
        <v>1862</v>
      </c>
      <c r="D42" s="854" t="s">
        <v>1866</v>
      </c>
      <c r="E42" s="854" t="s">
        <v>1870</v>
      </c>
      <c r="F42" s="856">
        <v>3414.53</v>
      </c>
    </row>
    <row r="43" spans="1:6" ht="14.6" x14ac:dyDescent="0.4">
      <c r="A43" s="854" t="s">
        <v>576</v>
      </c>
      <c r="B43" s="855">
        <v>43607</v>
      </c>
      <c r="C43" s="854" t="s">
        <v>1863</v>
      </c>
      <c r="D43" s="854" t="s">
        <v>1867</v>
      </c>
      <c r="E43" s="854" t="s">
        <v>1868</v>
      </c>
      <c r="F43" s="856">
        <v>2075.4499999999998</v>
      </c>
    </row>
    <row r="44" spans="1:6" ht="14.6" x14ac:dyDescent="0.4">
      <c r="A44" s="854" t="s">
        <v>576</v>
      </c>
      <c r="B44" s="855">
        <v>43619</v>
      </c>
      <c r="C44" s="854" t="s">
        <v>1864</v>
      </c>
      <c r="D44" s="854" t="s">
        <v>1867</v>
      </c>
      <c r="E44" s="854" t="s">
        <v>1869</v>
      </c>
      <c r="F44" s="856">
        <v>161.97</v>
      </c>
    </row>
    <row r="45" spans="1:6" ht="14.6" x14ac:dyDescent="0.4">
      <c r="A45" s="854" t="s">
        <v>576</v>
      </c>
      <c r="B45" s="855">
        <v>43622</v>
      </c>
      <c r="C45" s="854" t="s">
        <v>1865</v>
      </c>
      <c r="D45" s="854" t="s">
        <v>1093</v>
      </c>
      <c r="E45" s="854" t="s">
        <v>1111</v>
      </c>
      <c r="F45" s="856">
        <v>5041.66</v>
      </c>
    </row>
    <row r="46" spans="1:6" ht="14.6" x14ac:dyDescent="0.4">
      <c r="A46" s="854" t="s">
        <v>1085</v>
      </c>
      <c r="B46" s="855">
        <v>43623</v>
      </c>
      <c r="C46" s="854"/>
      <c r="D46" s="854" t="s">
        <v>1094</v>
      </c>
      <c r="E46" s="854" t="s">
        <v>1423</v>
      </c>
      <c r="F46" s="856">
        <v>923.26</v>
      </c>
    </row>
    <row r="47" spans="1:6" ht="14.6" x14ac:dyDescent="0.4">
      <c r="A47" s="854" t="s">
        <v>575</v>
      </c>
      <c r="B47" s="855">
        <v>43625</v>
      </c>
      <c r="C47" s="854"/>
      <c r="D47" s="854" t="s">
        <v>1095</v>
      </c>
      <c r="E47" s="854" t="s">
        <v>1101</v>
      </c>
      <c r="F47" s="856">
        <v>219.77</v>
      </c>
    </row>
    <row r="48" spans="1:6" ht="14.6" x14ac:dyDescent="0.4">
      <c r="A48" s="854" t="s">
        <v>575</v>
      </c>
      <c r="B48" s="855">
        <v>43635</v>
      </c>
      <c r="C48" s="854"/>
      <c r="D48" s="854" t="s">
        <v>1097</v>
      </c>
      <c r="E48" s="854" t="s">
        <v>1104</v>
      </c>
      <c r="F48" s="856">
        <v>303.2</v>
      </c>
    </row>
    <row r="49" spans="1:7" ht="14.6" x14ac:dyDescent="0.4">
      <c r="A49" s="854" t="s">
        <v>576</v>
      </c>
      <c r="B49" s="855">
        <v>43644</v>
      </c>
      <c r="C49" s="854" t="s">
        <v>2042</v>
      </c>
      <c r="D49" s="854" t="s">
        <v>749</v>
      </c>
      <c r="E49" s="854" t="s">
        <v>2046</v>
      </c>
      <c r="G49" s="856">
        <v>28832.5</v>
      </c>
    </row>
    <row r="50" spans="1:7" ht="14.6" x14ac:dyDescent="0.4">
      <c r="A50" s="854" t="s">
        <v>1085</v>
      </c>
      <c r="B50" s="855">
        <v>43649</v>
      </c>
      <c r="C50" s="854"/>
      <c r="D50" s="854" t="s">
        <v>1094</v>
      </c>
      <c r="E50" s="854" t="s">
        <v>1423</v>
      </c>
      <c r="F50" s="856">
        <v>909.48</v>
      </c>
    </row>
    <row r="51" spans="1:7" ht="14.6" x14ac:dyDescent="0.4">
      <c r="A51" s="854" t="s">
        <v>576</v>
      </c>
      <c r="B51" s="855">
        <v>43649</v>
      </c>
      <c r="C51" s="854" t="s">
        <v>2043</v>
      </c>
      <c r="D51" s="854" t="s">
        <v>2045</v>
      </c>
      <c r="E51" s="854" t="s">
        <v>2047</v>
      </c>
      <c r="G51" s="856">
        <v>1725</v>
      </c>
    </row>
    <row r="52" spans="1:7" ht="14.6" x14ac:dyDescent="0.4">
      <c r="A52" s="854" t="s">
        <v>575</v>
      </c>
      <c r="B52" s="855">
        <v>43655</v>
      </c>
      <c r="C52" s="854"/>
      <c r="D52" s="854" t="s">
        <v>1095</v>
      </c>
      <c r="E52" s="854" t="s">
        <v>1101</v>
      </c>
      <c r="F52" s="856">
        <v>219.77</v>
      </c>
    </row>
    <row r="53" spans="1:7" ht="14.6" x14ac:dyDescent="0.4">
      <c r="A53" s="854" t="s">
        <v>576</v>
      </c>
      <c r="B53" s="855">
        <v>43664</v>
      </c>
      <c r="C53" s="854" t="s">
        <v>2044</v>
      </c>
      <c r="D53" s="854" t="s">
        <v>1093</v>
      </c>
      <c r="E53" s="854" t="s">
        <v>1111</v>
      </c>
      <c r="F53" s="856">
        <v>5041.66</v>
      </c>
    </row>
    <row r="54" spans="1:7" ht="14.6" x14ac:dyDescent="0.4">
      <c r="A54" s="854" t="s">
        <v>575</v>
      </c>
      <c r="B54" s="855">
        <v>43665</v>
      </c>
      <c r="C54" s="854"/>
      <c r="D54" s="854" t="s">
        <v>1097</v>
      </c>
      <c r="E54" s="854" t="s">
        <v>1104</v>
      </c>
      <c r="F54" s="856">
        <v>303.2</v>
      </c>
    </row>
    <row r="55" spans="1:7" ht="14.6" x14ac:dyDescent="0.4">
      <c r="A55" s="854" t="s">
        <v>575</v>
      </c>
      <c r="B55" s="855">
        <v>43676</v>
      </c>
      <c r="C55" s="854" t="s">
        <v>2440</v>
      </c>
      <c r="D55" s="854" t="s">
        <v>2442</v>
      </c>
      <c r="E55" s="854" t="s">
        <v>2443</v>
      </c>
      <c r="F55" s="856">
        <v>71.8</v>
      </c>
    </row>
    <row r="56" spans="1:7" ht="14.6" x14ac:dyDescent="0.4">
      <c r="A56" s="854" t="s">
        <v>575</v>
      </c>
      <c r="B56" s="855">
        <v>43676</v>
      </c>
      <c r="C56" s="854" t="s">
        <v>2440</v>
      </c>
      <c r="D56" s="854" t="s">
        <v>2442</v>
      </c>
      <c r="E56" s="854" t="s">
        <v>2444</v>
      </c>
      <c r="F56" s="856">
        <v>-21.04</v>
      </c>
    </row>
    <row r="57" spans="1:7" ht="14.6" x14ac:dyDescent="0.4">
      <c r="A57" s="854" t="s">
        <v>1085</v>
      </c>
      <c r="B57" s="855">
        <v>43679</v>
      </c>
      <c r="C57" s="854"/>
      <c r="D57" s="854" t="s">
        <v>1094</v>
      </c>
      <c r="E57" s="854" t="s">
        <v>1423</v>
      </c>
      <c r="F57" s="856">
        <v>909.48</v>
      </c>
    </row>
    <row r="58" spans="1:7" ht="14.6" x14ac:dyDescent="0.4">
      <c r="A58" s="854" t="s">
        <v>575</v>
      </c>
      <c r="B58" s="855">
        <v>43686</v>
      </c>
      <c r="C58" s="854"/>
      <c r="D58" s="854" t="s">
        <v>1095</v>
      </c>
      <c r="E58" s="854" t="s">
        <v>1101</v>
      </c>
      <c r="F58" s="856">
        <v>219.77</v>
      </c>
    </row>
    <row r="59" spans="1:7" ht="14.6" x14ac:dyDescent="0.4">
      <c r="A59" s="854" t="s">
        <v>575</v>
      </c>
      <c r="B59" s="855">
        <v>43696</v>
      </c>
      <c r="C59" s="854"/>
      <c r="D59" s="854" t="s">
        <v>1097</v>
      </c>
      <c r="E59" s="854" t="s">
        <v>1104</v>
      </c>
      <c r="F59" s="856">
        <v>303.2</v>
      </c>
    </row>
    <row r="60" spans="1:7" ht="14.6" x14ac:dyDescent="0.4">
      <c r="A60" s="854" t="s">
        <v>576</v>
      </c>
      <c r="B60" s="855">
        <v>43704</v>
      </c>
      <c r="C60" s="854" t="s">
        <v>2441</v>
      </c>
      <c r="D60" s="854" t="s">
        <v>1093</v>
      </c>
      <c r="E60" s="854" t="s">
        <v>1111</v>
      </c>
      <c r="F60" s="856">
        <v>5041.66</v>
      </c>
    </row>
    <row r="61" spans="1:7" ht="14.6" x14ac:dyDescent="0.4">
      <c r="A61" s="854" t="s">
        <v>575</v>
      </c>
      <c r="B61" s="855">
        <v>43717</v>
      </c>
      <c r="C61" s="854"/>
      <c r="D61" s="854" t="s">
        <v>1095</v>
      </c>
      <c r="E61" s="854" t="s">
        <v>1101</v>
      </c>
      <c r="F61" s="856">
        <v>219.77</v>
      </c>
    </row>
    <row r="62" spans="1:7" ht="14.6" x14ac:dyDescent="0.4">
      <c r="A62" s="854" t="s">
        <v>1085</v>
      </c>
      <c r="B62" s="855">
        <v>43721</v>
      </c>
      <c r="C62" s="854"/>
      <c r="D62" s="854" t="s">
        <v>1094</v>
      </c>
      <c r="E62" s="854" t="s">
        <v>1423</v>
      </c>
      <c r="F62" s="856">
        <v>950.82</v>
      </c>
    </row>
    <row r="63" spans="1:7" ht="14.6" x14ac:dyDescent="0.4">
      <c r="A63" s="854" t="s">
        <v>576</v>
      </c>
      <c r="B63" s="855">
        <v>43726</v>
      </c>
      <c r="C63" s="854" t="s">
        <v>2754</v>
      </c>
      <c r="D63" s="854" t="s">
        <v>1093</v>
      </c>
      <c r="E63" s="854" t="s">
        <v>1111</v>
      </c>
      <c r="F63" s="856">
        <v>5041.66</v>
      </c>
    </row>
    <row r="64" spans="1:7" ht="14.6" x14ac:dyDescent="0.4">
      <c r="A64" s="854" t="s">
        <v>575</v>
      </c>
      <c r="B64" s="855">
        <v>43727</v>
      </c>
      <c r="C64" s="854"/>
      <c r="D64" s="854" t="s">
        <v>1097</v>
      </c>
      <c r="E64" s="854" t="s">
        <v>1104</v>
      </c>
      <c r="F64" s="856">
        <v>303.2</v>
      </c>
    </row>
    <row r="65" spans="1:6" ht="14.6" x14ac:dyDescent="0.4">
      <c r="A65" s="854" t="s">
        <v>575</v>
      </c>
      <c r="B65" s="855">
        <v>43739</v>
      </c>
      <c r="C65" s="854"/>
      <c r="D65" s="854" t="s">
        <v>1097</v>
      </c>
      <c r="E65" s="854" t="s">
        <v>1104</v>
      </c>
      <c r="F65" s="856">
        <v>13.6</v>
      </c>
    </row>
    <row r="66" spans="1:6" ht="14.6" x14ac:dyDescent="0.4">
      <c r="A66" s="854" t="s">
        <v>575</v>
      </c>
      <c r="B66" s="855">
        <v>43747</v>
      </c>
      <c r="C66" s="854"/>
      <c r="D66" s="854" t="s">
        <v>1095</v>
      </c>
      <c r="E66" s="854" t="s">
        <v>1101</v>
      </c>
      <c r="F66" s="856">
        <v>1671.02</v>
      </c>
    </row>
    <row r="67" spans="1:6" ht="14.6" x14ac:dyDescent="0.4">
      <c r="A67" s="854" t="s">
        <v>1085</v>
      </c>
      <c r="B67" s="855">
        <v>43749</v>
      </c>
      <c r="C67" s="854"/>
      <c r="D67" s="854" t="s">
        <v>1094</v>
      </c>
      <c r="E67" s="854" t="s">
        <v>1423</v>
      </c>
      <c r="F67" s="856">
        <v>950.82</v>
      </c>
    </row>
    <row r="68" spans="1:6" ht="14.6" x14ac:dyDescent="0.4">
      <c r="A68" s="854" t="s">
        <v>576</v>
      </c>
      <c r="B68" s="855">
        <v>43754</v>
      </c>
      <c r="C68" s="854" t="s">
        <v>2755</v>
      </c>
      <c r="D68" s="854" t="s">
        <v>1093</v>
      </c>
      <c r="E68" s="854" t="s">
        <v>1111</v>
      </c>
      <c r="F68" s="856">
        <v>5041.66</v>
      </c>
    </row>
    <row r="69" spans="1:6" ht="14.6" x14ac:dyDescent="0.4">
      <c r="A69" s="854" t="s">
        <v>575</v>
      </c>
      <c r="B69" s="855">
        <v>43757</v>
      </c>
      <c r="C69" s="854"/>
      <c r="D69" s="854" t="s">
        <v>1097</v>
      </c>
      <c r="E69" s="854" t="s">
        <v>1104</v>
      </c>
      <c r="F69" s="856">
        <v>327.2</v>
      </c>
    </row>
    <row r="70" spans="1:6" ht="14.6" x14ac:dyDescent="0.4">
      <c r="A70" s="854" t="s">
        <v>576</v>
      </c>
      <c r="B70" s="855">
        <v>43760</v>
      </c>
      <c r="C70" s="854" t="s">
        <v>2994</v>
      </c>
      <c r="D70" s="854" t="s">
        <v>670</v>
      </c>
      <c r="E70" s="854" t="s">
        <v>2998</v>
      </c>
      <c r="F70" s="856">
        <v>0</v>
      </c>
    </row>
    <row r="71" spans="1:6" ht="14.6" x14ac:dyDescent="0.4">
      <c r="A71" s="854" t="s">
        <v>576</v>
      </c>
      <c r="B71" s="855">
        <v>43767</v>
      </c>
      <c r="C71" s="854" t="s">
        <v>2995</v>
      </c>
      <c r="D71" s="854" t="s">
        <v>2230</v>
      </c>
      <c r="E71" s="854" t="s">
        <v>2999</v>
      </c>
      <c r="F71" s="856">
        <v>82.05</v>
      </c>
    </row>
    <row r="72" spans="1:6" ht="14.6" x14ac:dyDescent="0.4">
      <c r="A72" s="854" t="s">
        <v>1085</v>
      </c>
      <c r="B72" s="855">
        <v>43777</v>
      </c>
      <c r="C72" s="854"/>
      <c r="D72" s="854" t="s">
        <v>1094</v>
      </c>
      <c r="E72" s="854" t="s">
        <v>1423</v>
      </c>
      <c r="F72" s="856">
        <v>947.04</v>
      </c>
    </row>
    <row r="73" spans="1:6" ht="14.6" x14ac:dyDescent="0.4">
      <c r="A73" s="854" t="s">
        <v>575</v>
      </c>
      <c r="B73" s="855">
        <v>43778</v>
      </c>
      <c r="C73" s="854"/>
      <c r="D73" s="854" t="s">
        <v>1095</v>
      </c>
      <c r="E73" s="854" t="s">
        <v>1101</v>
      </c>
      <c r="F73" s="856">
        <v>219.77</v>
      </c>
    </row>
    <row r="74" spans="1:6" ht="14.6" x14ac:dyDescent="0.4">
      <c r="A74" s="854" t="s">
        <v>575</v>
      </c>
      <c r="B74" s="855">
        <v>43778</v>
      </c>
      <c r="C74" s="854" t="s">
        <v>2996</v>
      </c>
      <c r="D74" s="854" t="s">
        <v>1095</v>
      </c>
      <c r="E74" s="854" t="s">
        <v>3000</v>
      </c>
      <c r="F74" s="856">
        <v>1671.02</v>
      </c>
    </row>
    <row r="75" spans="1:6" ht="14.6" x14ac:dyDescent="0.4">
      <c r="A75" s="854" t="s">
        <v>576</v>
      </c>
      <c r="B75" s="855">
        <v>43787</v>
      </c>
      <c r="C75" s="854" t="s">
        <v>2997</v>
      </c>
      <c r="D75" s="854" t="s">
        <v>1867</v>
      </c>
      <c r="E75" s="854" t="s">
        <v>3001</v>
      </c>
      <c r="F75" s="856">
        <v>2076.46</v>
      </c>
    </row>
    <row r="76" spans="1:6" ht="14.6" x14ac:dyDescent="0.4">
      <c r="A76" s="854" t="s">
        <v>575</v>
      </c>
      <c r="B76" s="855">
        <v>43788</v>
      </c>
      <c r="C76" s="854"/>
      <c r="D76" s="854" t="s">
        <v>1097</v>
      </c>
      <c r="E76" s="854" t="s">
        <v>1104</v>
      </c>
      <c r="F76" s="856">
        <v>327.2</v>
      </c>
    </row>
    <row r="77" spans="1:6" ht="14.6" x14ac:dyDescent="0.4">
      <c r="A77" s="854" t="s">
        <v>576</v>
      </c>
      <c r="B77" s="855">
        <v>43788</v>
      </c>
      <c r="C77" s="854" t="s">
        <v>2987</v>
      </c>
      <c r="D77" s="854" t="s">
        <v>1095</v>
      </c>
      <c r="E77" s="854" t="s">
        <v>3002</v>
      </c>
      <c r="F77" s="856">
        <v>0</v>
      </c>
    </row>
    <row r="78" spans="1:6" ht="14.6" x14ac:dyDescent="0.4">
      <c r="A78" s="854" t="s">
        <v>575</v>
      </c>
      <c r="B78" s="855">
        <v>43788</v>
      </c>
      <c r="C78" s="854" t="s">
        <v>3252</v>
      </c>
      <c r="D78" s="854" t="s">
        <v>3258</v>
      </c>
      <c r="E78" s="854" t="s">
        <v>3261</v>
      </c>
      <c r="F78" s="856">
        <v>11.07</v>
      </c>
    </row>
    <row r="79" spans="1:6" ht="14.6" x14ac:dyDescent="0.4">
      <c r="A79" s="854" t="s">
        <v>575</v>
      </c>
      <c r="B79" s="855">
        <v>43788</v>
      </c>
      <c r="C79" s="854" t="s">
        <v>3252</v>
      </c>
      <c r="D79" s="854" t="s">
        <v>3258</v>
      </c>
      <c r="E79" s="854" t="s">
        <v>3262</v>
      </c>
      <c r="F79" s="856">
        <v>89.5</v>
      </c>
    </row>
    <row r="80" spans="1:6" ht="14.6" x14ac:dyDescent="0.4">
      <c r="A80" s="854" t="s">
        <v>575</v>
      </c>
      <c r="B80" s="855">
        <v>43788</v>
      </c>
      <c r="C80" s="854" t="s">
        <v>3252</v>
      </c>
      <c r="D80" s="854" t="s">
        <v>3258</v>
      </c>
      <c r="E80" s="854" t="s">
        <v>3263</v>
      </c>
      <c r="F80" s="856">
        <v>44.75</v>
      </c>
    </row>
    <row r="81" spans="1:8" ht="15" customHeight="1" x14ac:dyDescent="0.4">
      <c r="A81" s="854" t="s">
        <v>1085</v>
      </c>
      <c r="B81" s="855">
        <v>43791</v>
      </c>
      <c r="C81" s="854"/>
      <c r="D81" s="854" t="s">
        <v>1094</v>
      </c>
      <c r="E81" s="854" t="s">
        <v>1423</v>
      </c>
      <c r="F81" s="856">
        <v>21.2</v>
      </c>
    </row>
    <row r="82" spans="1:8" ht="15" customHeight="1" x14ac:dyDescent="0.4">
      <c r="A82" s="854" t="s">
        <v>1921</v>
      </c>
      <c r="B82" s="855">
        <v>43791</v>
      </c>
      <c r="C82" s="854" t="s">
        <v>3253</v>
      </c>
      <c r="D82" s="854" t="s">
        <v>1095</v>
      </c>
      <c r="E82" s="854" t="s">
        <v>3264</v>
      </c>
      <c r="F82" s="856">
        <v>-1671.02</v>
      </c>
    </row>
    <row r="83" spans="1:8" ht="15" customHeight="1" x14ac:dyDescent="0.4">
      <c r="A83" s="854" t="s">
        <v>576</v>
      </c>
      <c r="B83" s="855">
        <v>43801</v>
      </c>
      <c r="C83" s="854" t="s">
        <v>3254</v>
      </c>
      <c r="D83" s="854" t="s">
        <v>1093</v>
      </c>
      <c r="E83" s="854" t="s">
        <v>1111</v>
      </c>
      <c r="F83" s="856">
        <v>5041.66</v>
      </c>
    </row>
    <row r="84" spans="1:8" ht="15" customHeight="1" x14ac:dyDescent="0.4">
      <c r="A84" s="854" t="s">
        <v>576</v>
      </c>
      <c r="B84" s="855">
        <v>43801</v>
      </c>
      <c r="C84" s="854" t="s">
        <v>3255</v>
      </c>
      <c r="D84" s="854" t="s">
        <v>1093</v>
      </c>
      <c r="E84" s="854" t="s">
        <v>1111</v>
      </c>
      <c r="F84" s="856">
        <v>5041.66</v>
      </c>
    </row>
    <row r="85" spans="1:8" ht="15" customHeight="1" x14ac:dyDescent="0.4">
      <c r="A85" s="854" t="s">
        <v>576</v>
      </c>
      <c r="B85" s="855">
        <v>43801</v>
      </c>
      <c r="C85" s="854" t="s">
        <v>3256</v>
      </c>
      <c r="D85" s="854" t="s">
        <v>3259</v>
      </c>
      <c r="E85" s="854" t="s">
        <v>3265</v>
      </c>
      <c r="F85" s="856">
        <v>494</v>
      </c>
    </row>
    <row r="86" spans="1:8" ht="15" customHeight="1" x14ac:dyDescent="0.4">
      <c r="A86" s="854" t="s">
        <v>576</v>
      </c>
      <c r="B86" s="855">
        <v>43801</v>
      </c>
      <c r="C86" s="854" t="s">
        <v>3256</v>
      </c>
      <c r="D86" s="854" t="s">
        <v>3259</v>
      </c>
      <c r="E86" s="854" t="s">
        <v>3266</v>
      </c>
      <c r="F86" s="856">
        <v>360</v>
      </c>
    </row>
    <row r="87" spans="1:8" ht="15" customHeight="1" x14ac:dyDescent="0.4">
      <c r="A87" s="854" t="s">
        <v>576</v>
      </c>
      <c r="B87" s="855">
        <v>43802</v>
      </c>
      <c r="C87" s="854" t="s">
        <v>3050</v>
      </c>
      <c r="D87" s="854" t="s">
        <v>1095</v>
      </c>
      <c r="E87" s="854" t="s">
        <v>2825</v>
      </c>
      <c r="F87" s="856">
        <v>0</v>
      </c>
    </row>
    <row r="88" spans="1:8" ht="15" customHeight="1" x14ac:dyDescent="0.4">
      <c r="A88" s="854" t="s">
        <v>1085</v>
      </c>
      <c r="B88" s="855">
        <v>43805</v>
      </c>
      <c r="C88" s="854"/>
      <c r="D88" s="854" t="s">
        <v>1094</v>
      </c>
      <c r="E88" s="854" t="s">
        <v>1423</v>
      </c>
      <c r="F88" s="856">
        <v>985.8</v>
      </c>
    </row>
    <row r="89" spans="1:8" ht="15" customHeight="1" x14ac:dyDescent="0.4">
      <c r="A89" s="854" t="s">
        <v>575</v>
      </c>
      <c r="B89" s="855">
        <v>43808</v>
      </c>
      <c r="C89" s="854"/>
      <c r="D89" s="854" t="s">
        <v>1095</v>
      </c>
      <c r="E89" s="854" t="s">
        <v>1101</v>
      </c>
      <c r="F89" s="856">
        <v>219.77</v>
      </c>
    </row>
    <row r="90" spans="1:8" ht="15" customHeight="1" x14ac:dyDescent="0.4">
      <c r="A90" s="854" t="s">
        <v>575</v>
      </c>
      <c r="B90" s="855">
        <v>43808</v>
      </c>
      <c r="C90" s="854" t="s">
        <v>3257</v>
      </c>
      <c r="D90" s="854" t="s">
        <v>3260</v>
      </c>
      <c r="E90" s="854" t="s">
        <v>3267</v>
      </c>
      <c r="F90" s="856">
        <v>199.95</v>
      </c>
    </row>
    <row r="91" spans="1:8" ht="15" customHeight="1" x14ac:dyDescent="0.4">
      <c r="A91" s="854" t="s">
        <v>1085</v>
      </c>
      <c r="B91" s="855">
        <v>43810</v>
      </c>
      <c r="C91" s="854"/>
      <c r="D91" s="854" t="s">
        <v>1094</v>
      </c>
      <c r="E91" s="854" t="s">
        <v>1423</v>
      </c>
      <c r="F91" s="856">
        <v>21.2</v>
      </c>
    </row>
    <row r="92" spans="1:8" ht="15" customHeight="1" x14ac:dyDescent="0.4">
      <c r="A92" s="854" t="s">
        <v>575</v>
      </c>
      <c r="B92" s="855">
        <v>43818</v>
      </c>
      <c r="C92" s="854"/>
      <c r="D92" s="854" t="s">
        <v>1097</v>
      </c>
      <c r="E92" s="854" t="s">
        <v>1104</v>
      </c>
      <c r="F92" s="856">
        <v>303.2</v>
      </c>
    </row>
    <row r="93" spans="1:8" ht="15" customHeight="1" thickBot="1" x14ac:dyDescent="0.45">
      <c r="A93" s="854" t="s">
        <v>1085</v>
      </c>
      <c r="B93" s="855">
        <v>43819</v>
      </c>
      <c r="C93" s="854"/>
      <c r="D93" s="854" t="s">
        <v>1094</v>
      </c>
      <c r="E93" s="854" t="s">
        <v>1423</v>
      </c>
      <c r="F93" s="857">
        <v>21.2</v>
      </c>
    </row>
    <row r="94" spans="1:8" ht="15" customHeight="1" thickBot="1" x14ac:dyDescent="0.45">
      <c r="A94" s="854"/>
      <c r="B94" s="855"/>
      <c r="C94" s="854"/>
      <c r="D94" s="854"/>
      <c r="E94" s="854"/>
      <c r="F94" s="858">
        <f>ROUND(SUM(F3:F93),5)</f>
        <v>104624.62</v>
      </c>
      <c r="G94" s="856">
        <f>SUM(G4:G93)</f>
        <v>41970</v>
      </c>
      <c r="H94" s="856">
        <f>SUM(F94:G94)</f>
        <v>146594.62</v>
      </c>
    </row>
    <row r="95" spans="1:8" ht="15" customHeight="1" thickBot="1" x14ac:dyDescent="0.45">
      <c r="A95" s="854"/>
      <c r="B95" s="855"/>
      <c r="C95" s="854"/>
      <c r="D95" s="854"/>
      <c r="E95" s="854"/>
      <c r="F95" s="858">
        <f>F94</f>
        <v>104624.62</v>
      </c>
    </row>
    <row r="96" spans="1:8" ht="15" customHeight="1" thickBot="1" x14ac:dyDescent="0.45">
      <c r="A96" s="854"/>
      <c r="B96" s="855"/>
      <c r="C96" s="854"/>
      <c r="D96" s="854"/>
      <c r="E96" s="854"/>
      <c r="F96" s="859">
        <f>F95</f>
        <v>104624.62</v>
      </c>
    </row>
    <row r="97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4:37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381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33814" r:id="rId4" name="HEADER"/>
      </mc:Fallback>
    </mc:AlternateContent>
    <mc:AlternateContent xmlns:mc="http://schemas.openxmlformats.org/markup-compatibility/2006">
      <mc:Choice Requires="x14">
        <control shapeId="3381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33813" r:id="rId6" name="FILTER"/>
      </mc:Fallback>
    </mc:AlternateContent>
  </control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F17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D1" sqref="A1:D1048576"/>
    </sheetView>
  </sheetViews>
  <sheetFormatPr defaultColWidth="14.3828125" defaultRowHeight="15" customHeight="1" x14ac:dyDescent="0.4"/>
  <cols>
    <col min="1" max="1" width="5.3046875" style="861" bestFit="1" customWidth="1"/>
    <col min="2" max="2" width="10.69140625" style="861" bestFit="1" customWidth="1"/>
    <col min="3" max="3" width="11.69140625" style="861" bestFit="1" customWidth="1"/>
    <col min="4" max="5" width="30.69140625" style="861" customWidth="1"/>
    <col min="6" max="6" width="9.15234375" style="861" bestFit="1" customWidth="1"/>
  </cols>
  <sheetData>
    <row r="1" spans="1:6" s="879" customFormat="1" ht="15" customHeigh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ht="15" customHeight="1" thickTop="1" x14ac:dyDescent="0.4">
      <c r="A2" s="854"/>
      <c r="B2" s="855"/>
      <c r="C2" s="854"/>
      <c r="D2" s="854"/>
      <c r="E2" s="854"/>
      <c r="F2" s="856"/>
    </row>
    <row r="3" spans="1:6" ht="15" customHeight="1" x14ac:dyDescent="0.4">
      <c r="A3" s="854"/>
      <c r="B3" s="855"/>
      <c r="C3" s="854"/>
      <c r="D3" s="854"/>
      <c r="E3" s="854"/>
      <c r="F3" s="856"/>
    </row>
    <row r="4" spans="1:6" ht="15" customHeight="1" x14ac:dyDescent="0.4">
      <c r="A4" s="854" t="s">
        <v>576</v>
      </c>
      <c r="B4" s="855">
        <v>43743</v>
      </c>
      <c r="C4" s="854" t="s">
        <v>2756</v>
      </c>
      <c r="D4" s="854" t="s">
        <v>2757</v>
      </c>
      <c r="E4" s="854" t="s">
        <v>2758</v>
      </c>
      <c r="F4" s="856">
        <v>65</v>
      </c>
    </row>
    <row r="5" spans="1:6" ht="15" customHeight="1" x14ac:dyDescent="0.4">
      <c r="A5" s="854" t="s">
        <v>576</v>
      </c>
      <c r="B5" s="855">
        <v>43743</v>
      </c>
      <c r="C5" s="854" t="s">
        <v>2756</v>
      </c>
      <c r="D5" s="854" t="s">
        <v>2757</v>
      </c>
      <c r="E5" s="854" t="s">
        <v>2759</v>
      </c>
      <c r="F5" s="856">
        <v>6053</v>
      </c>
    </row>
    <row r="6" spans="1:6" ht="15" customHeight="1" x14ac:dyDescent="0.4">
      <c r="A6" s="854" t="s">
        <v>576</v>
      </c>
      <c r="B6" s="855">
        <v>43743</v>
      </c>
      <c r="C6" s="854" t="s">
        <v>2756</v>
      </c>
      <c r="D6" s="854" t="s">
        <v>2757</v>
      </c>
      <c r="E6" s="854" t="s">
        <v>2760</v>
      </c>
      <c r="F6" s="856">
        <v>2773</v>
      </c>
    </row>
    <row r="7" spans="1:6" ht="15" customHeight="1" x14ac:dyDescent="0.4">
      <c r="A7" s="854" t="s">
        <v>576</v>
      </c>
      <c r="B7" s="855">
        <v>43743</v>
      </c>
      <c r="C7" s="854" t="s">
        <v>2756</v>
      </c>
      <c r="D7" s="854" t="s">
        <v>2757</v>
      </c>
      <c r="E7" s="854" t="s">
        <v>2761</v>
      </c>
      <c r="F7" s="856">
        <v>600</v>
      </c>
    </row>
    <row r="8" spans="1:6" ht="15" customHeight="1" x14ac:dyDescent="0.4">
      <c r="A8" s="854" t="s">
        <v>576</v>
      </c>
      <c r="B8" s="855">
        <v>43743</v>
      </c>
      <c r="C8" s="854" t="s">
        <v>2756</v>
      </c>
      <c r="D8" s="854" t="s">
        <v>2757</v>
      </c>
      <c r="E8" s="854" t="s">
        <v>2762</v>
      </c>
      <c r="F8" s="856">
        <v>7421</v>
      </c>
    </row>
    <row r="9" spans="1:6" ht="15" customHeight="1" x14ac:dyDescent="0.4">
      <c r="A9" s="854" t="s">
        <v>576</v>
      </c>
      <c r="B9" s="855">
        <v>43743</v>
      </c>
      <c r="C9" s="854" t="s">
        <v>2756</v>
      </c>
      <c r="D9" s="854" t="s">
        <v>2757</v>
      </c>
      <c r="E9" s="854" t="s">
        <v>2763</v>
      </c>
      <c r="F9" s="856">
        <v>-55.46</v>
      </c>
    </row>
    <row r="10" spans="1:6" ht="15" customHeight="1" x14ac:dyDescent="0.4">
      <c r="A10" s="854" t="s">
        <v>576</v>
      </c>
      <c r="B10" s="855">
        <v>43743</v>
      </c>
      <c r="C10" s="854" t="s">
        <v>2756</v>
      </c>
      <c r="D10" s="854" t="s">
        <v>2757</v>
      </c>
      <c r="E10" s="854" t="s">
        <v>2764</v>
      </c>
      <c r="F10" s="856">
        <v>-121.06</v>
      </c>
    </row>
    <row r="11" spans="1:6" ht="15" customHeight="1" x14ac:dyDescent="0.4">
      <c r="A11" s="854" t="s">
        <v>576</v>
      </c>
      <c r="B11" s="855">
        <v>43743</v>
      </c>
      <c r="C11" s="854" t="s">
        <v>2756</v>
      </c>
      <c r="D11" s="854" t="s">
        <v>2757</v>
      </c>
      <c r="E11" s="854" t="s">
        <v>2765</v>
      </c>
      <c r="F11" s="856">
        <v>-1.3</v>
      </c>
    </row>
    <row r="12" spans="1:6" ht="15" customHeight="1" x14ac:dyDescent="0.4">
      <c r="A12" s="854" t="s">
        <v>576</v>
      </c>
      <c r="B12" s="855">
        <v>43743</v>
      </c>
      <c r="C12" s="854" t="s">
        <v>2756</v>
      </c>
      <c r="D12" s="854" t="s">
        <v>2757</v>
      </c>
      <c r="E12" s="854" t="s">
        <v>2766</v>
      </c>
      <c r="F12" s="856">
        <v>-148.41999999999999</v>
      </c>
    </row>
    <row r="13" spans="1:6" ht="15" customHeight="1" thickBot="1" x14ac:dyDescent="0.45">
      <c r="A13" s="854" t="s">
        <v>576</v>
      </c>
      <c r="B13" s="855">
        <v>43743</v>
      </c>
      <c r="C13" s="854" t="s">
        <v>2756</v>
      </c>
      <c r="D13" s="854" t="s">
        <v>2757</v>
      </c>
      <c r="E13" s="854" t="s">
        <v>2767</v>
      </c>
      <c r="F13" s="857">
        <v>-12</v>
      </c>
    </row>
    <row r="14" spans="1:6" ht="15" customHeight="1" thickBot="1" x14ac:dyDescent="0.45">
      <c r="A14" s="854"/>
      <c r="B14" s="855"/>
      <c r="C14" s="854"/>
      <c r="D14" s="854"/>
      <c r="E14" s="854"/>
      <c r="F14" s="858">
        <f>ROUND(SUM(F3:F13),5)</f>
        <v>16573.759999999998</v>
      </c>
    </row>
    <row r="15" spans="1:6" ht="15" customHeight="1" thickBot="1" x14ac:dyDescent="0.45">
      <c r="A15" s="854"/>
      <c r="B15" s="855"/>
      <c r="C15" s="854"/>
      <c r="D15" s="854"/>
      <c r="E15" s="854"/>
      <c r="F15" s="858">
        <f>F14</f>
        <v>16573.759999999998</v>
      </c>
    </row>
    <row r="16" spans="1:6" ht="15" customHeight="1" thickBot="1" x14ac:dyDescent="0.45">
      <c r="A16" s="854"/>
      <c r="B16" s="855"/>
      <c r="C16" s="854"/>
      <c r="D16" s="854"/>
      <c r="E16" s="854"/>
      <c r="F16" s="859">
        <f>F15</f>
        <v>16573.759999999998</v>
      </c>
    </row>
    <row r="17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10:41 AM
&amp;"Arial,Bold"&amp;8 11/04/19
&amp;"Arial,Bold"&amp;8 Accrual Basis&amp;C&amp;"Arial,Bold"&amp;12 Williamson Central Appraisal District
&amp;"Arial,Bold"&amp;14 Account QuickReport
&amp;"Arial,Bold"&amp;10 January 1 through November 4,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915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49154" r:id="rId4" name="HEADER"/>
      </mc:Fallback>
    </mc:AlternateContent>
    <mc:AlternateContent xmlns:mc="http://schemas.openxmlformats.org/markup-compatibility/2006">
      <mc:Choice Requires="x14">
        <control shapeId="4915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49153" r:id="rId6" name="FILTER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F145"/>
  <sheetViews>
    <sheetView workbookViewId="0">
      <pane xSplit="1" ySplit="1" topLeftCell="B20" activePane="bottomRight" state="frozenSplit"/>
      <selection pane="topRight" activeCell="D1" sqref="D1"/>
      <selection pane="bottomLeft" activeCell="A2" sqref="A2"/>
      <selection pane="bottomRight" activeCell="F1" sqref="F1:F1048576"/>
    </sheetView>
  </sheetViews>
  <sheetFormatPr defaultColWidth="14.3828125" defaultRowHeight="15" customHeight="1" x14ac:dyDescent="0.4"/>
  <cols>
    <col min="1" max="1" width="5.3046875" style="861" bestFit="1" customWidth="1"/>
    <col min="2" max="2" width="10.69140625" style="861" bestFit="1" customWidth="1"/>
    <col min="3" max="3" width="10" style="861" bestFit="1" customWidth="1"/>
    <col min="4" max="4" width="27.53515625" style="861" bestFit="1" customWidth="1"/>
    <col min="5" max="5" width="30.69140625" style="861" customWidth="1"/>
    <col min="6" max="6" width="10.15234375" style="861" bestFit="1" customWidth="1"/>
  </cols>
  <sheetData>
    <row r="1" spans="1:6" s="891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43516</v>
      </c>
      <c r="C4" s="854" t="s">
        <v>723</v>
      </c>
      <c r="D4" s="854" t="s">
        <v>1112</v>
      </c>
      <c r="E4" s="854" t="s">
        <v>1128</v>
      </c>
      <c r="F4" s="856">
        <v>340</v>
      </c>
    </row>
    <row r="5" spans="1:6" ht="14.6" x14ac:dyDescent="0.4">
      <c r="A5" s="854" t="s">
        <v>576</v>
      </c>
      <c r="B5" s="855">
        <v>43516</v>
      </c>
      <c r="C5" s="854" t="s">
        <v>723</v>
      </c>
      <c r="D5" s="854" t="s">
        <v>1113</v>
      </c>
      <c r="E5" s="854" t="s">
        <v>1129</v>
      </c>
      <c r="F5" s="856">
        <v>390</v>
      </c>
    </row>
    <row r="6" spans="1:6" ht="14.6" x14ac:dyDescent="0.4">
      <c r="A6" s="854" t="s">
        <v>576</v>
      </c>
      <c r="B6" s="855">
        <v>43516</v>
      </c>
      <c r="C6" s="854" t="s">
        <v>723</v>
      </c>
      <c r="D6" s="854" t="s">
        <v>1114</v>
      </c>
      <c r="E6" s="854" t="s">
        <v>1128</v>
      </c>
      <c r="F6" s="856">
        <v>340</v>
      </c>
    </row>
    <row r="7" spans="1:6" ht="14.6" x14ac:dyDescent="0.4">
      <c r="A7" s="854" t="s">
        <v>576</v>
      </c>
      <c r="B7" s="855">
        <v>43516</v>
      </c>
      <c r="C7" s="854" t="s">
        <v>723</v>
      </c>
      <c r="D7" s="854" t="s">
        <v>1115</v>
      </c>
      <c r="E7" s="854" t="s">
        <v>1128</v>
      </c>
      <c r="F7" s="856">
        <v>425</v>
      </c>
    </row>
    <row r="8" spans="1:6" ht="14.6" x14ac:dyDescent="0.4">
      <c r="A8" s="854" t="s">
        <v>576</v>
      </c>
      <c r="B8" s="855">
        <v>43516</v>
      </c>
      <c r="C8" s="854" t="s">
        <v>723</v>
      </c>
      <c r="D8" s="854" t="s">
        <v>1116</v>
      </c>
      <c r="E8" s="854" t="s">
        <v>1130</v>
      </c>
      <c r="F8" s="856">
        <v>390</v>
      </c>
    </row>
    <row r="9" spans="1:6" ht="14.6" x14ac:dyDescent="0.4">
      <c r="A9" s="854" t="s">
        <v>576</v>
      </c>
      <c r="B9" s="855">
        <v>43516</v>
      </c>
      <c r="C9" s="854" t="s">
        <v>723</v>
      </c>
      <c r="D9" s="854" t="s">
        <v>1116</v>
      </c>
      <c r="E9" s="854" t="s">
        <v>1131</v>
      </c>
      <c r="F9" s="856">
        <v>60</v>
      </c>
    </row>
    <row r="10" spans="1:6" ht="14.6" x14ac:dyDescent="0.4">
      <c r="A10" s="854" t="s">
        <v>576</v>
      </c>
      <c r="B10" s="855">
        <v>43516</v>
      </c>
      <c r="C10" s="854" t="s">
        <v>723</v>
      </c>
      <c r="D10" s="854" t="s">
        <v>1117</v>
      </c>
      <c r="E10" s="854" t="s">
        <v>1132</v>
      </c>
      <c r="F10" s="856">
        <v>310</v>
      </c>
    </row>
    <row r="11" spans="1:6" ht="14.6" x14ac:dyDescent="0.4">
      <c r="A11" s="854" t="s">
        <v>576</v>
      </c>
      <c r="B11" s="855">
        <v>43516</v>
      </c>
      <c r="C11" s="854" t="s">
        <v>723</v>
      </c>
      <c r="D11" s="854" t="s">
        <v>1118</v>
      </c>
      <c r="E11" s="854" t="s">
        <v>1133</v>
      </c>
      <c r="F11" s="856">
        <v>340</v>
      </c>
    </row>
    <row r="12" spans="1:6" ht="14.6" x14ac:dyDescent="0.4">
      <c r="A12" s="854" t="s">
        <v>576</v>
      </c>
      <c r="B12" s="855">
        <v>43516</v>
      </c>
      <c r="C12" s="854" t="s">
        <v>723</v>
      </c>
      <c r="D12" s="854" t="s">
        <v>1119</v>
      </c>
      <c r="E12" s="854" t="s">
        <v>1134</v>
      </c>
      <c r="F12" s="856">
        <v>340</v>
      </c>
    </row>
    <row r="13" spans="1:6" ht="14.6" x14ac:dyDescent="0.4">
      <c r="A13" s="854" t="s">
        <v>576</v>
      </c>
      <c r="B13" s="855">
        <v>43516</v>
      </c>
      <c r="C13" s="854" t="s">
        <v>723</v>
      </c>
      <c r="D13" s="854" t="s">
        <v>1120</v>
      </c>
      <c r="E13" s="854" t="s">
        <v>1134</v>
      </c>
      <c r="F13" s="856">
        <v>340</v>
      </c>
    </row>
    <row r="14" spans="1:6" ht="14.6" x14ac:dyDescent="0.4">
      <c r="A14" s="854" t="s">
        <v>576</v>
      </c>
      <c r="B14" s="855">
        <v>43516</v>
      </c>
      <c r="C14" s="854" t="s">
        <v>723</v>
      </c>
      <c r="D14" s="854" t="s">
        <v>1121</v>
      </c>
      <c r="E14" s="854" t="s">
        <v>1130</v>
      </c>
      <c r="F14" s="856">
        <v>487.5</v>
      </c>
    </row>
    <row r="15" spans="1:6" ht="14.6" x14ac:dyDescent="0.4">
      <c r="A15" s="854" t="s">
        <v>576</v>
      </c>
      <c r="B15" s="855">
        <v>43516</v>
      </c>
      <c r="C15" s="854" t="s">
        <v>723</v>
      </c>
      <c r="D15" s="854" t="s">
        <v>1122</v>
      </c>
      <c r="E15" s="854" t="s">
        <v>1134</v>
      </c>
      <c r="F15" s="856">
        <v>340</v>
      </c>
    </row>
    <row r="16" spans="1:6" ht="14.6" x14ac:dyDescent="0.4">
      <c r="A16" s="854" t="s">
        <v>576</v>
      </c>
      <c r="B16" s="855">
        <v>43516</v>
      </c>
      <c r="C16" s="854" t="s">
        <v>723</v>
      </c>
      <c r="D16" s="854" t="s">
        <v>1123</v>
      </c>
      <c r="E16" s="854" t="s">
        <v>1135</v>
      </c>
      <c r="F16" s="856">
        <v>440</v>
      </c>
    </row>
    <row r="17" spans="1:6" ht="14.6" x14ac:dyDescent="0.4">
      <c r="A17" s="854" t="s">
        <v>576</v>
      </c>
      <c r="B17" s="855">
        <v>43516</v>
      </c>
      <c r="C17" s="854" t="s">
        <v>723</v>
      </c>
      <c r="D17" s="854" t="s">
        <v>1124</v>
      </c>
      <c r="E17" s="854" t="s">
        <v>1133</v>
      </c>
      <c r="F17" s="856">
        <v>390</v>
      </c>
    </row>
    <row r="18" spans="1:6" ht="14.6" x14ac:dyDescent="0.4">
      <c r="A18" s="854" t="s">
        <v>576</v>
      </c>
      <c r="B18" s="855">
        <v>43516</v>
      </c>
      <c r="C18" s="854" t="s">
        <v>723</v>
      </c>
      <c r="D18" s="854" t="s">
        <v>1125</v>
      </c>
      <c r="E18" s="854" t="s">
        <v>1136</v>
      </c>
      <c r="F18" s="856">
        <v>310</v>
      </c>
    </row>
    <row r="19" spans="1:6" ht="14.6" x14ac:dyDescent="0.4">
      <c r="A19" s="854" t="s">
        <v>576</v>
      </c>
      <c r="B19" s="855">
        <v>43516</v>
      </c>
      <c r="C19" s="854" t="s">
        <v>723</v>
      </c>
      <c r="D19" s="854" t="s">
        <v>1126</v>
      </c>
      <c r="E19" s="854" t="s">
        <v>1134</v>
      </c>
      <c r="F19" s="856">
        <v>340</v>
      </c>
    </row>
    <row r="20" spans="1:6" ht="14.6" x14ac:dyDescent="0.4">
      <c r="A20" s="854" t="s">
        <v>576</v>
      </c>
      <c r="B20" s="855">
        <v>43516</v>
      </c>
      <c r="C20" s="854" t="s">
        <v>723</v>
      </c>
      <c r="D20" s="854" t="s">
        <v>1127</v>
      </c>
      <c r="E20" s="854" t="s">
        <v>1132</v>
      </c>
      <c r="F20" s="856">
        <v>310</v>
      </c>
    </row>
    <row r="21" spans="1:6" ht="14.6" x14ac:dyDescent="0.4">
      <c r="A21" s="854" t="s">
        <v>576</v>
      </c>
      <c r="B21" s="855">
        <v>43544</v>
      </c>
      <c r="C21" s="854" t="s">
        <v>726</v>
      </c>
      <c r="D21" s="854" t="s">
        <v>1126</v>
      </c>
      <c r="E21" s="854" t="s">
        <v>1427</v>
      </c>
      <c r="F21" s="856">
        <v>170</v>
      </c>
    </row>
    <row r="22" spans="1:6" ht="14.6" x14ac:dyDescent="0.4">
      <c r="A22" s="854" t="s">
        <v>576</v>
      </c>
      <c r="B22" s="855">
        <v>43544</v>
      </c>
      <c r="C22" s="854" t="s">
        <v>726</v>
      </c>
      <c r="D22" s="854" t="s">
        <v>1127</v>
      </c>
      <c r="E22" s="854" t="s">
        <v>1428</v>
      </c>
      <c r="F22" s="856">
        <v>155</v>
      </c>
    </row>
    <row r="23" spans="1:6" ht="14.6" x14ac:dyDescent="0.4">
      <c r="A23" s="854" t="s">
        <v>576</v>
      </c>
      <c r="B23" s="855">
        <v>43544</v>
      </c>
      <c r="C23" s="854" t="s">
        <v>726</v>
      </c>
      <c r="D23" s="854" t="s">
        <v>1125</v>
      </c>
      <c r="E23" s="854" t="s">
        <v>1428</v>
      </c>
      <c r="F23" s="856">
        <v>155</v>
      </c>
    </row>
    <row r="24" spans="1:6" ht="14.6" x14ac:dyDescent="0.4">
      <c r="A24" s="854" t="s">
        <v>576</v>
      </c>
      <c r="B24" s="855">
        <v>43544</v>
      </c>
      <c r="C24" s="854" t="s">
        <v>726</v>
      </c>
      <c r="D24" s="854" t="s">
        <v>1124</v>
      </c>
      <c r="E24" s="854" t="s">
        <v>1430</v>
      </c>
      <c r="F24" s="856">
        <v>195</v>
      </c>
    </row>
    <row r="25" spans="1:6" ht="14.6" x14ac:dyDescent="0.4">
      <c r="A25" s="854" t="s">
        <v>576</v>
      </c>
      <c r="B25" s="855">
        <v>43544</v>
      </c>
      <c r="C25" s="854" t="s">
        <v>726</v>
      </c>
      <c r="D25" s="854" t="s">
        <v>1123</v>
      </c>
      <c r="E25" s="854" t="s">
        <v>1429</v>
      </c>
      <c r="F25" s="856">
        <v>220</v>
      </c>
    </row>
    <row r="26" spans="1:6" ht="14.6" x14ac:dyDescent="0.4">
      <c r="A26" s="854" t="s">
        <v>576</v>
      </c>
      <c r="B26" s="855">
        <v>43544</v>
      </c>
      <c r="C26" s="854" t="s">
        <v>726</v>
      </c>
      <c r="D26" s="854" t="s">
        <v>1122</v>
      </c>
      <c r="E26" s="854" t="s">
        <v>1427</v>
      </c>
      <c r="F26" s="856">
        <v>170</v>
      </c>
    </row>
    <row r="27" spans="1:6" ht="14.6" x14ac:dyDescent="0.4">
      <c r="A27" s="854" t="s">
        <v>576</v>
      </c>
      <c r="B27" s="855">
        <v>43544</v>
      </c>
      <c r="C27" s="854" t="s">
        <v>726</v>
      </c>
      <c r="D27" s="854" t="s">
        <v>1121</v>
      </c>
      <c r="E27" s="854" t="s">
        <v>1430</v>
      </c>
      <c r="F27" s="856">
        <v>195</v>
      </c>
    </row>
    <row r="28" spans="1:6" ht="14.6" x14ac:dyDescent="0.4">
      <c r="A28" s="854" t="s">
        <v>576</v>
      </c>
      <c r="B28" s="855">
        <v>43544</v>
      </c>
      <c r="C28" s="854" t="s">
        <v>726</v>
      </c>
      <c r="D28" s="854" t="s">
        <v>1120</v>
      </c>
      <c r="E28" s="854" t="s">
        <v>1427</v>
      </c>
      <c r="F28" s="856">
        <v>170</v>
      </c>
    </row>
    <row r="29" spans="1:6" ht="14.6" x14ac:dyDescent="0.4">
      <c r="A29" s="854" t="s">
        <v>576</v>
      </c>
      <c r="B29" s="855">
        <v>43544</v>
      </c>
      <c r="C29" s="854" t="s">
        <v>726</v>
      </c>
      <c r="D29" s="854" t="s">
        <v>1119</v>
      </c>
      <c r="E29" s="854" t="s">
        <v>1427</v>
      </c>
      <c r="F29" s="856">
        <v>170</v>
      </c>
    </row>
    <row r="30" spans="1:6" ht="14.6" x14ac:dyDescent="0.4">
      <c r="A30" s="854" t="s">
        <v>576</v>
      </c>
      <c r="B30" s="855">
        <v>43544</v>
      </c>
      <c r="C30" s="854" t="s">
        <v>726</v>
      </c>
      <c r="D30" s="854" t="s">
        <v>1117</v>
      </c>
      <c r="E30" s="854" t="s">
        <v>1428</v>
      </c>
      <c r="F30" s="856">
        <v>155</v>
      </c>
    </row>
    <row r="31" spans="1:6" ht="14.6" x14ac:dyDescent="0.4">
      <c r="A31" s="854" t="s">
        <v>576</v>
      </c>
      <c r="B31" s="855">
        <v>43544</v>
      </c>
      <c r="C31" s="854" t="s">
        <v>726</v>
      </c>
      <c r="D31" s="854" t="s">
        <v>1118</v>
      </c>
      <c r="E31" s="854" t="s">
        <v>1427</v>
      </c>
      <c r="F31" s="856">
        <v>170</v>
      </c>
    </row>
    <row r="32" spans="1:6" ht="14.6" x14ac:dyDescent="0.4">
      <c r="A32" s="854" t="s">
        <v>576</v>
      </c>
      <c r="B32" s="855">
        <v>43544</v>
      </c>
      <c r="C32" s="854" t="s">
        <v>726</v>
      </c>
      <c r="D32" s="854" t="s">
        <v>1116</v>
      </c>
      <c r="E32" s="854" t="s">
        <v>1430</v>
      </c>
      <c r="F32" s="856">
        <v>195</v>
      </c>
    </row>
    <row r="33" spans="1:6" ht="14.6" x14ac:dyDescent="0.4">
      <c r="A33" s="854" t="s">
        <v>576</v>
      </c>
      <c r="B33" s="855">
        <v>43544</v>
      </c>
      <c r="C33" s="854" t="s">
        <v>726</v>
      </c>
      <c r="D33" s="854" t="s">
        <v>1116</v>
      </c>
      <c r="E33" s="854" t="s">
        <v>1131</v>
      </c>
      <c r="F33" s="856">
        <v>30</v>
      </c>
    </row>
    <row r="34" spans="1:6" ht="14.6" x14ac:dyDescent="0.4">
      <c r="A34" s="854" t="s">
        <v>576</v>
      </c>
      <c r="B34" s="855">
        <v>43544</v>
      </c>
      <c r="C34" s="854" t="s">
        <v>726</v>
      </c>
      <c r="D34" s="854" t="s">
        <v>1115</v>
      </c>
      <c r="E34" s="854" t="s">
        <v>1427</v>
      </c>
      <c r="F34" s="856">
        <v>170</v>
      </c>
    </row>
    <row r="35" spans="1:6" ht="14.6" x14ac:dyDescent="0.4">
      <c r="A35" s="854" t="s">
        <v>576</v>
      </c>
      <c r="B35" s="855">
        <v>43544</v>
      </c>
      <c r="C35" s="854" t="s">
        <v>726</v>
      </c>
      <c r="D35" s="854" t="s">
        <v>1114</v>
      </c>
      <c r="E35" s="854" t="s">
        <v>1427</v>
      </c>
      <c r="F35" s="856">
        <v>170</v>
      </c>
    </row>
    <row r="36" spans="1:6" ht="14.6" x14ac:dyDescent="0.4">
      <c r="A36" s="854" t="s">
        <v>576</v>
      </c>
      <c r="B36" s="855">
        <v>43544</v>
      </c>
      <c r="C36" s="854" t="s">
        <v>726</v>
      </c>
      <c r="D36" s="854" t="s">
        <v>1113</v>
      </c>
      <c r="E36" s="854" t="s">
        <v>1430</v>
      </c>
      <c r="F36" s="856">
        <v>195</v>
      </c>
    </row>
    <row r="37" spans="1:6" ht="14.6" x14ac:dyDescent="0.4">
      <c r="A37" s="854" t="s">
        <v>576</v>
      </c>
      <c r="B37" s="855">
        <v>43544</v>
      </c>
      <c r="C37" s="854" t="s">
        <v>726</v>
      </c>
      <c r="D37" s="854" t="s">
        <v>1112</v>
      </c>
      <c r="E37" s="854" t="s">
        <v>1427</v>
      </c>
      <c r="F37" s="856">
        <v>170</v>
      </c>
    </row>
    <row r="38" spans="1:6" ht="14.6" x14ac:dyDescent="0.4">
      <c r="A38" s="854" t="s">
        <v>576</v>
      </c>
      <c r="B38" s="855">
        <v>43578</v>
      </c>
      <c r="C38" s="854" t="s">
        <v>1238</v>
      </c>
      <c r="D38" s="854" t="s">
        <v>1114</v>
      </c>
      <c r="E38" s="854" t="s">
        <v>1541</v>
      </c>
      <c r="F38" s="856">
        <v>255</v>
      </c>
    </row>
    <row r="39" spans="1:6" ht="14.6" x14ac:dyDescent="0.4">
      <c r="A39" s="854" t="s">
        <v>576</v>
      </c>
      <c r="B39" s="855">
        <v>43578</v>
      </c>
      <c r="C39" s="854" t="s">
        <v>1238</v>
      </c>
      <c r="D39" s="854" t="s">
        <v>1116</v>
      </c>
      <c r="E39" s="854" t="s">
        <v>1542</v>
      </c>
      <c r="F39" s="856">
        <v>292.5</v>
      </c>
    </row>
    <row r="40" spans="1:6" ht="14.6" x14ac:dyDescent="0.4">
      <c r="A40" s="854" t="s">
        <v>576</v>
      </c>
      <c r="B40" s="855">
        <v>43578</v>
      </c>
      <c r="C40" s="854" t="s">
        <v>1238</v>
      </c>
      <c r="D40" s="854" t="s">
        <v>1116</v>
      </c>
      <c r="E40" s="854" t="s">
        <v>1654</v>
      </c>
      <c r="F40" s="856">
        <v>45</v>
      </c>
    </row>
    <row r="41" spans="1:6" ht="14.6" x14ac:dyDescent="0.4">
      <c r="A41" s="854" t="s">
        <v>576</v>
      </c>
      <c r="B41" s="855">
        <v>43578</v>
      </c>
      <c r="C41" s="854" t="s">
        <v>1238</v>
      </c>
      <c r="D41" s="854" t="s">
        <v>1126</v>
      </c>
      <c r="E41" s="854" t="s">
        <v>1543</v>
      </c>
      <c r="F41" s="856">
        <v>255</v>
      </c>
    </row>
    <row r="42" spans="1:6" ht="14.6" x14ac:dyDescent="0.4">
      <c r="A42" s="854" t="s">
        <v>576</v>
      </c>
      <c r="B42" s="855">
        <v>43578</v>
      </c>
      <c r="C42" s="854" t="s">
        <v>1238</v>
      </c>
      <c r="D42" s="854" t="s">
        <v>1121</v>
      </c>
      <c r="E42" s="854" t="s">
        <v>1542</v>
      </c>
      <c r="F42" s="856">
        <v>292.5</v>
      </c>
    </row>
    <row r="43" spans="1:6" ht="14.6" x14ac:dyDescent="0.4">
      <c r="A43" s="854" t="s">
        <v>576</v>
      </c>
      <c r="B43" s="855">
        <v>43578</v>
      </c>
      <c r="C43" s="854" t="s">
        <v>1238</v>
      </c>
      <c r="D43" s="854" t="s">
        <v>1127</v>
      </c>
      <c r="E43" s="854" t="s">
        <v>1544</v>
      </c>
      <c r="F43" s="856">
        <v>232.5</v>
      </c>
    </row>
    <row r="44" spans="1:6" ht="14.6" x14ac:dyDescent="0.4">
      <c r="A44" s="854" t="s">
        <v>576</v>
      </c>
      <c r="B44" s="855">
        <v>43578</v>
      </c>
      <c r="C44" s="854" t="s">
        <v>1238</v>
      </c>
      <c r="D44" s="854" t="s">
        <v>1123</v>
      </c>
      <c r="E44" s="854" t="s">
        <v>1545</v>
      </c>
      <c r="F44" s="856">
        <v>330</v>
      </c>
    </row>
    <row r="45" spans="1:6" ht="14.6" x14ac:dyDescent="0.4">
      <c r="A45" s="854" t="s">
        <v>576</v>
      </c>
      <c r="B45" s="855">
        <v>43578</v>
      </c>
      <c r="C45" s="854" t="s">
        <v>1238</v>
      </c>
      <c r="D45" s="854" t="s">
        <v>1120</v>
      </c>
      <c r="E45" s="854" t="s">
        <v>1543</v>
      </c>
      <c r="F45" s="856">
        <v>255</v>
      </c>
    </row>
    <row r="46" spans="1:6" ht="14.6" x14ac:dyDescent="0.4">
      <c r="A46" s="854" t="s">
        <v>576</v>
      </c>
      <c r="B46" s="855">
        <v>43578</v>
      </c>
      <c r="C46" s="854" t="s">
        <v>1238</v>
      </c>
      <c r="D46" s="854" t="s">
        <v>1112</v>
      </c>
      <c r="E46" s="854" t="s">
        <v>1543</v>
      </c>
      <c r="F46" s="856">
        <v>255</v>
      </c>
    </row>
    <row r="47" spans="1:6" ht="14.6" x14ac:dyDescent="0.4">
      <c r="A47" s="854" t="s">
        <v>576</v>
      </c>
      <c r="B47" s="855">
        <v>43578</v>
      </c>
      <c r="C47" s="854" t="s">
        <v>1238</v>
      </c>
      <c r="D47" s="854" t="s">
        <v>1119</v>
      </c>
      <c r="E47" s="854" t="s">
        <v>1543</v>
      </c>
      <c r="F47" s="856">
        <v>255</v>
      </c>
    </row>
    <row r="48" spans="1:6" ht="14.6" x14ac:dyDescent="0.4">
      <c r="A48" s="854" t="s">
        <v>576</v>
      </c>
      <c r="B48" s="855">
        <v>43578</v>
      </c>
      <c r="C48" s="854" t="s">
        <v>1238</v>
      </c>
      <c r="D48" s="854" t="s">
        <v>1115</v>
      </c>
      <c r="E48" s="854" t="s">
        <v>1543</v>
      </c>
      <c r="F48" s="856">
        <v>255</v>
      </c>
    </row>
    <row r="49" spans="1:6" ht="14.6" x14ac:dyDescent="0.4">
      <c r="A49" s="854" t="s">
        <v>576</v>
      </c>
      <c r="B49" s="855">
        <v>43578</v>
      </c>
      <c r="C49" s="854" t="s">
        <v>1238</v>
      </c>
      <c r="D49" s="854" t="s">
        <v>1125</v>
      </c>
      <c r="E49" s="854" t="s">
        <v>1544</v>
      </c>
      <c r="F49" s="856">
        <v>232.5</v>
      </c>
    </row>
    <row r="50" spans="1:6" ht="14.6" x14ac:dyDescent="0.4">
      <c r="A50" s="854" t="s">
        <v>576</v>
      </c>
      <c r="B50" s="855">
        <v>43578</v>
      </c>
      <c r="C50" s="854" t="s">
        <v>1238</v>
      </c>
      <c r="D50" s="854" t="s">
        <v>1124</v>
      </c>
      <c r="E50" s="854" t="s">
        <v>1542</v>
      </c>
      <c r="F50" s="856">
        <v>292.5</v>
      </c>
    </row>
    <row r="51" spans="1:6" ht="14.6" x14ac:dyDescent="0.4">
      <c r="A51" s="854" t="s">
        <v>576</v>
      </c>
      <c r="B51" s="855">
        <v>43578</v>
      </c>
      <c r="C51" s="854" t="s">
        <v>1238</v>
      </c>
      <c r="D51" s="854" t="s">
        <v>1122</v>
      </c>
      <c r="E51" s="854" t="s">
        <v>1543</v>
      </c>
      <c r="F51" s="856">
        <v>255</v>
      </c>
    </row>
    <row r="52" spans="1:6" ht="14.6" x14ac:dyDescent="0.4">
      <c r="A52" s="854" t="s">
        <v>576</v>
      </c>
      <c r="B52" s="855">
        <v>43578</v>
      </c>
      <c r="C52" s="854" t="s">
        <v>1238</v>
      </c>
      <c r="D52" s="854" t="s">
        <v>1117</v>
      </c>
      <c r="E52" s="854" t="s">
        <v>1544</v>
      </c>
      <c r="F52" s="856">
        <v>232.5</v>
      </c>
    </row>
    <row r="53" spans="1:6" ht="14.6" x14ac:dyDescent="0.4">
      <c r="A53" s="854" t="s">
        <v>576</v>
      </c>
      <c r="B53" s="855">
        <v>43578</v>
      </c>
      <c r="C53" s="854" t="s">
        <v>1238</v>
      </c>
      <c r="D53" s="854" t="s">
        <v>1113</v>
      </c>
      <c r="E53" s="854" t="s">
        <v>1542</v>
      </c>
      <c r="F53" s="856">
        <v>292.5</v>
      </c>
    </row>
    <row r="54" spans="1:6" ht="14.6" x14ac:dyDescent="0.4">
      <c r="A54" s="854" t="s">
        <v>576</v>
      </c>
      <c r="B54" s="855">
        <v>43578</v>
      </c>
      <c r="C54" s="854" t="s">
        <v>1238</v>
      </c>
      <c r="D54" s="854" t="s">
        <v>1118</v>
      </c>
      <c r="E54" s="854" t="s">
        <v>1543</v>
      </c>
      <c r="F54" s="856">
        <v>255</v>
      </c>
    </row>
    <row r="55" spans="1:6" ht="14.6" x14ac:dyDescent="0.4">
      <c r="A55" s="854" t="s">
        <v>576</v>
      </c>
      <c r="B55" s="855">
        <v>43626</v>
      </c>
      <c r="C55" s="854" t="s">
        <v>1512</v>
      </c>
      <c r="D55" s="854" t="s">
        <v>1113</v>
      </c>
      <c r="E55" s="854" t="s">
        <v>1871</v>
      </c>
      <c r="F55" s="856">
        <v>3705</v>
      </c>
    </row>
    <row r="56" spans="1:6" ht="14.6" x14ac:dyDescent="0.4">
      <c r="A56" s="854" t="s">
        <v>576</v>
      </c>
      <c r="B56" s="855">
        <v>43626</v>
      </c>
      <c r="C56" s="854" t="s">
        <v>1512</v>
      </c>
      <c r="D56" s="854" t="s">
        <v>1112</v>
      </c>
      <c r="E56" s="854" t="s">
        <v>1872</v>
      </c>
      <c r="F56" s="856">
        <v>2805</v>
      </c>
    </row>
    <row r="57" spans="1:6" ht="14.6" x14ac:dyDescent="0.4">
      <c r="A57" s="854" t="s">
        <v>576</v>
      </c>
      <c r="B57" s="855">
        <v>43626</v>
      </c>
      <c r="C57" s="854" t="s">
        <v>1512</v>
      </c>
      <c r="D57" s="854" t="s">
        <v>1114</v>
      </c>
      <c r="E57" s="854" t="s">
        <v>1873</v>
      </c>
      <c r="F57" s="856">
        <v>3400</v>
      </c>
    </row>
    <row r="58" spans="1:6" ht="14.6" x14ac:dyDescent="0.4">
      <c r="A58" s="854" t="s">
        <v>576</v>
      </c>
      <c r="B58" s="855">
        <v>43626</v>
      </c>
      <c r="C58" s="854" t="s">
        <v>1512</v>
      </c>
      <c r="D58" s="854" t="s">
        <v>1115</v>
      </c>
      <c r="E58" s="854" t="s">
        <v>1873</v>
      </c>
      <c r="F58" s="856">
        <v>3230</v>
      </c>
    </row>
    <row r="59" spans="1:6" ht="14.6" x14ac:dyDescent="0.4">
      <c r="A59" s="854" t="s">
        <v>576</v>
      </c>
      <c r="B59" s="855">
        <v>43626</v>
      </c>
      <c r="C59" s="854" t="s">
        <v>1512</v>
      </c>
      <c r="D59" s="854" t="s">
        <v>1115</v>
      </c>
      <c r="E59" s="854" t="s">
        <v>1874</v>
      </c>
      <c r="F59" s="856">
        <v>60</v>
      </c>
    </row>
    <row r="60" spans="1:6" ht="14.6" x14ac:dyDescent="0.4">
      <c r="A60" s="854" t="s">
        <v>576</v>
      </c>
      <c r="B60" s="855">
        <v>43626</v>
      </c>
      <c r="C60" s="854" t="s">
        <v>1512</v>
      </c>
      <c r="D60" s="854" t="s">
        <v>1116</v>
      </c>
      <c r="E60" s="854" t="s">
        <v>1875</v>
      </c>
      <c r="F60" s="856">
        <v>3510</v>
      </c>
    </row>
    <row r="61" spans="1:6" ht="14.6" x14ac:dyDescent="0.4">
      <c r="A61" s="854" t="s">
        <v>576</v>
      </c>
      <c r="B61" s="855">
        <v>43626</v>
      </c>
      <c r="C61" s="854" t="s">
        <v>1512</v>
      </c>
      <c r="D61" s="854" t="s">
        <v>1116</v>
      </c>
      <c r="E61" s="854" t="s">
        <v>1876</v>
      </c>
      <c r="F61" s="856">
        <v>540</v>
      </c>
    </row>
    <row r="62" spans="1:6" ht="14.6" x14ac:dyDescent="0.4">
      <c r="A62" s="854" t="s">
        <v>576</v>
      </c>
      <c r="B62" s="855">
        <v>43626</v>
      </c>
      <c r="C62" s="854" t="s">
        <v>1512</v>
      </c>
      <c r="D62" s="854" t="s">
        <v>1117</v>
      </c>
      <c r="E62" s="854" t="s">
        <v>1877</v>
      </c>
      <c r="F62" s="856">
        <v>2790</v>
      </c>
    </row>
    <row r="63" spans="1:6" ht="14.6" x14ac:dyDescent="0.4">
      <c r="A63" s="854" t="s">
        <v>576</v>
      </c>
      <c r="B63" s="855">
        <v>43626</v>
      </c>
      <c r="C63" s="854" t="s">
        <v>1512</v>
      </c>
      <c r="D63" s="854" t="s">
        <v>1119</v>
      </c>
      <c r="E63" s="854" t="s">
        <v>1873</v>
      </c>
      <c r="F63" s="856">
        <v>2720</v>
      </c>
    </row>
    <row r="64" spans="1:6" ht="14.6" x14ac:dyDescent="0.4">
      <c r="A64" s="854" t="s">
        <v>576</v>
      </c>
      <c r="B64" s="855">
        <v>43626</v>
      </c>
      <c r="C64" s="854" t="s">
        <v>1512</v>
      </c>
      <c r="D64" s="854" t="s">
        <v>1121</v>
      </c>
      <c r="E64" s="854" t="s">
        <v>1875</v>
      </c>
      <c r="F64" s="856">
        <v>3510</v>
      </c>
    </row>
    <row r="65" spans="1:6" ht="14.6" x14ac:dyDescent="0.4">
      <c r="A65" s="854" t="s">
        <v>576</v>
      </c>
      <c r="B65" s="855">
        <v>43626</v>
      </c>
      <c r="C65" s="854" t="s">
        <v>1512</v>
      </c>
      <c r="D65" s="854" t="s">
        <v>1118</v>
      </c>
      <c r="E65" s="854" t="s">
        <v>1873</v>
      </c>
      <c r="F65" s="856">
        <v>765</v>
      </c>
    </row>
    <row r="66" spans="1:6" ht="14.6" x14ac:dyDescent="0.4">
      <c r="A66" s="854" t="s">
        <v>576</v>
      </c>
      <c r="B66" s="855">
        <v>43626</v>
      </c>
      <c r="C66" s="854" t="s">
        <v>1512</v>
      </c>
      <c r="D66" s="854" t="s">
        <v>1120</v>
      </c>
      <c r="E66" s="854" t="s">
        <v>1873</v>
      </c>
      <c r="F66" s="856">
        <v>2890</v>
      </c>
    </row>
    <row r="67" spans="1:6" ht="14.6" x14ac:dyDescent="0.4">
      <c r="A67" s="854" t="s">
        <v>576</v>
      </c>
      <c r="B67" s="855">
        <v>43626</v>
      </c>
      <c r="C67" s="854" t="s">
        <v>1512</v>
      </c>
      <c r="D67" s="854" t="s">
        <v>1122</v>
      </c>
      <c r="E67" s="854" t="s">
        <v>1873</v>
      </c>
      <c r="F67" s="856">
        <v>2635</v>
      </c>
    </row>
    <row r="68" spans="1:6" ht="14.6" x14ac:dyDescent="0.4">
      <c r="A68" s="854" t="s">
        <v>576</v>
      </c>
      <c r="B68" s="855">
        <v>43626</v>
      </c>
      <c r="C68" s="854" t="s">
        <v>1512</v>
      </c>
      <c r="D68" s="854" t="s">
        <v>1123</v>
      </c>
      <c r="E68" s="854" t="s">
        <v>1878</v>
      </c>
      <c r="F68" s="856">
        <v>4400</v>
      </c>
    </row>
    <row r="69" spans="1:6" ht="14.6" x14ac:dyDescent="0.4">
      <c r="A69" s="854" t="s">
        <v>576</v>
      </c>
      <c r="B69" s="855">
        <v>43626</v>
      </c>
      <c r="C69" s="854" t="s">
        <v>1512</v>
      </c>
      <c r="D69" s="854" t="s">
        <v>1124</v>
      </c>
      <c r="E69" s="854" t="s">
        <v>1875</v>
      </c>
      <c r="F69" s="856">
        <v>682.5</v>
      </c>
    </row>
    <row r="70" spans="1:6" ht="14.6" x14ac:dyDescent="0.4">
      <c r="A70" s="854" t="s">
        <v>576</v>
      </c>
      <c r="B70" s="855">
        <v>43626</v>
      </c>
      <c r="C70" s="854" t="s">
        <v>1512</v>
      </c>
      <c r="D70" s="854" t="s">
        <v>1125</v>
      </c>
      <c r="E70" s="854" t="s">
        <v>1879</v>
      </c>
      <c r="F70" s="856">
        <v>852.5</v>
      </c>
    </row>
    <row r="71" spans="1:6" ht="14.6" x14ac:dyDescent="0.4">
      <c r="A71" s="854" t="s">
        <v>576</v>
      </c>
      <c r="B71" s="855">
        <v>43626</v>
      </c>
      <c r="C71" s="854" t="s">
        <v>1512</v>
      </c>
      <c r="D71" s="854" t="s">
        <v>1126</v>
      </c>
      <c r="E71" s="854" t="s">
        <v>1873</v>
      </c>
      <c r="F71" s="856">
        <v>2720</v>
      </c>
    </row>
    <row r="72" spans="1:6" ht="14.6" x14ac:dyDescent="0.4">
      <c r="A72" s="854" t="s">
        <v>576</v>
      </c>
      <c r="B72" s="855">
        <v>43626</v>
      </c>
      <c r="C72" s="854" t="s">
        <v>1512</v>
      </c>
      <c r="D72" s="854" t="s">
        <v>1127</v>
      </c>
      <c r="E72" s="854" t="s">
        <v>1877</v>
      </c>
      <c r="F72" s="856">
        <v>2635</v>
      </c>
    </row>
    <row r="73" spans="1:6" ht="14.6" x14ac:dyDescent="0.4">
      <c r="A73" s="854" t="s">
        <v>576</v>
      </c>
      <c r="B73" s="855">
        <v>43656</v>
      </c>
      <c r="C73" s="854" t="s">
        <v>1830</v>
      </c>
      <c r="D73" s="854" t="s">
        <v>1126</v>
      </c>
      <c r="E73" s="854" t="s">
        <v>2050</v>
      </c>
      <c r="F73" s="856">
        <v>2465</v>
      </c>
    </row>
    <row r="74" spans="1:6" ht="14.6" x14ac:dyDescent="0.4">
      <c r="A74" s="854" t="s">
        <v>576</v>
      </c>
      <c r="B74" s="855">
        <v>43656</v>
      </c>
      <c r="C74" s="854" t="s">
        <v>1830</v>
      </c>
      <c r="D74" s="854" t="s">
        <v>1127</v>
      </c>
      <c r="E74" s="854" t="s">
        <v>2051</v>
      </c>
      <c r="F74" s="856">
        <v>2867.5</v>
      </c>
    </row>
    <row r="75" spans="1:6" ht="14.6" x14ac:dyDescent="0.4">
      <c r="A75" s="854" t="s">
        <v>576</v>
      </c>
      <c r="B75" s="855">
        <v>43656</v>
      </c>
      <c r="C75" s="854" t="s">
        <v>1830</v>
      </c>
      <c r="D75" s="854" t="s">
        <v>1125</v>
      </c>
      <c r="E75" s="854" t="s">
        <v>2052</v>
      </c>
      <c r="F75" s="856">
        <v>620</v>
      </c>
    </row>
    <row r="76" spans="1:6" ht="14.6" x14ac:dyDescent="0.4">
      <c r="A76" s="854" t="s">
        <v>576</v>
      </c>
      <c r="B76" s="855">
        <v>43656</v>
      </c>
      <c r="C76" s="854" t="s">
        <v>1830</v>
      </c>
      <c r="D76" s="854" t="s">
        <v>1124</v>
      </c>
      <c r="E76" s="854" t="s">
        <v>2053</v>
      </c>
      <c r="F76" s="856">
        <v>877.5</v>
      </c>
    </row>
    <row r="77" spans="1:6" ht="14.6" x14ac:dyDescent="0.4">
      <c r="A77" s="854" t="s">
        <v>576</v>
      </c>
      <c r="B77" s="855">
        <v>43656</v>
      </c>
      <c r="C77" s="854" t="s">
        <v>1830</v>
      </c>
      <c r="D77" s="854" t="s">
        <v>1123</v>
      </c>
      <c r="E77" s="854" t="s">
        <v>2054</v>
      </c>
      <c r="F77" s="856">
        <v>4180</v>
      </c>
    </row>
    <row r="78" spans="1:6" ht="14.6" x14ac:dyDescent="0.4">
      <c r="A78" s="854" t="s">
        <v>576</v>
      </c>
      <c r="B78" s="855">
        <v>43656</v>
      </c>
      <c r="C78" s="854" t="s">
        <v>1830</v>
      </c>
      <c r="D78" s="854" t="s">
        <v>1122</v>
      </c>
      <c r="E78" s="854" t="s">
        <v>2050</v>
      </c>
      <c r="F78" s="856">
        <v>2720</v>
      </c>
    </row>
    <row r="79" spans="1:6" ht="14.6" x14ac:dyDescent="0.4">
      <c r="A79" s="854" t="s">
        <v>576</v>
      </c>
      <c r="B79" s="855">
        <v>43656</v>
      </c>
      <c r="C79" s="854" t="s">
        <v>1830</v>
      </c>
      <c r="D79" s="854" t="s">
        <v>1121</v>
      </c>
      <c r="E79" s="854" t="s">
        <v>2053</v>
      </c>
      <c r="F79" s="856">
        <v>3900</v>
      </c>
    </row>
    <row r="80" spans="1:6" ht="14.6" x14ac:dyDescent="0.4">
      <c r="A80" s="854" t="s">
        <v>576</v>
      </c>
      <c r="B80" s="855">
        <v>43656</v>
      </c>
      <c r="C80" s="854" t="s">
        <v>1830</v>
      </c>
      <c r="D80" s="854" t="s">
        <v>1120</v>
      </c>
      <c r="E80" s="854" t="s">
        <v>2050</v>
      </c>
      <c r="F80" s="856">
        <v>2550</v>
      </c>
    </row>
    <row r="81" spans="1:6" ht="14.6" x14ac:dyDescent="0.4">
      <c r="A81" s="854" t="s">
        <v>576</v>
      </c>
      <c r="B81" s="855">
        <v>43656</v>
      </c>
      <c r="C81" s="854" t="s">
        <v>1830</v>
      </c>
      <c r="D81" s="854" t="s">
        <v>1119</v>
      </c>
      <c r="E81" s="854" t="s">
        <v>2050</v>
      </c>
      <c r="F81" s="856">
        <v>3145</v>
      </c>
    </row>
    <row r="82" spans="1:6" ht="14.6" x14ac:dyDescent="0.4">
      <c r="A82" s="854" t="s">
        <v>576</v>
      </c>
      <c r="B82" s="855">
        <v>43656</v>
      </c>
      <c r="C82" s="854" t="s">
        <v>1830</v>
      </c>
      <c r="D82" s="854" t="s">
        <v>1118</v>
      </c>
      <c r="E82" s="854" t="s">
        <v>2050</v>
      </c>
      <c r="F82" s="856">
        <v>170</v>
      </c>
    </row>
    <row r="83" spans="1:6" ht="14.6" x14ac:dyDescent="0.4">
      <c r="A83" s="854" t="s">
        <v>576</v>
      </c>
      <c r="B83" s="855">
        <v>43656</v>
      </c>
      <c r="C83" s="854" t="s">
        <v>1830</v>
      </c>
      <c r="D83" s="854" t="s">
        <v>1117</v>
      </c>
      <c r="E83" s="854" t="s">
        <v>2051</v>
      </c>
      <c r="F83" s="856">
        <v>2557.5</v>
      </c>
    </row>
    <row r="84" spans="1:6" ht="14.6" x14ac:dyDescent="0.4">
      <c r="A84" s="854" t="s">
        <v>576</v>
      </c>
      <c r="B84" s="855">
        <v>43656</v>
      </c>
      <c r="C84" s="854" t="s">
        <v>1830</v>
      </c>
      <c r="D84" s="854" t="s">
        <v>1116</v>
      </c>
      <c r="E84" s="854" t="s">
        <v>2053</v>
      </c>
      <c r="F84" s="856">
        <v>3900</v>
      </c>
    </row>
    <row r="85" spans="1:6" ht="14.6" x14ac:dyDescent="0.4">
      <c r="A85" s="854" t="s">
        <v>576</v>
      </c>
      <c r="B85" s="855">
        <v>43656</v>
      </c>
      <c r="C85" s="854" t="s">
        <v>1830</v>
      </c>
      <c r="D85" s="854" t="s">
        <v>1116</v>
      </c>
      <c r="E85" s="854" t="s">
        <v>1876</v>
      </c>
      <c r="F85" s="856">
        <v>585</v>
      </c>
    </row>
    <row r="86" spans="1:6" ht="14.6" x14ac:dyDescent="0.4">
      <c r="A86" s="854" t="s">
        <v>576</v>
      </c>
      <c r="B86" s="855">
        <v>43656</v>
      </c>
      <c r="C86" s="854" t="s">
        <v>1830</v>
      </c>
      <c r="D86" s="854" t="s">
        <v>1115</v>
      </c>
      <c r="E86" s="854" t="s">
        <v>2050</v>
      </c>
      <c r="F86" s="856">
        <v>3400</v>
      </c>
    </row>
    <row r="87" spans="1:6" ht="14.6" x14ac:dyDescent="0.4">
      <c r="A87" s="854" t="s">
        <v>576</v>
      </c>
      <c r="B87" s="855">
        <v>43656</v>
      </c>
      <c r="C87" s="854" t="s">
        <v>1830</v>
      </c>
      <c r="D87" s="854" t="s">
        <v>1115</v>
      </c>
      <c r="E87" s="854" t="s">
        <v>1874</v>
      </c>
      <c r="F87" s="856">
        <v>15</v>
      </c>
    </row>
    <row r="88" spans="1:6" ht="14.6" x14ac:dyDescent="0.4">
      <c r="A88" s="854" t="s">
        <v>576</v>
      </c>
      <c r="B88" s="855">
        <v>43656</v>
      </c>
      <c r="C88" s="854" t="s">
        <v>1830</v>
      </c>
      <c r="D88" s="854" t="s">
        <v>1114</v>
      </c>
      <c r="E88" s="854" t="s">
        <v>2050</v>
      </c>
      <c r="F88" s="856">
        <v>3060</v>
      </c>
    </row>
    <row r="89" spans="1:6" ht="14.6" x14ac:dyDescent="0.4">
      <c r="A89" s="854" t="s">
        <v>576</v>
      </c>
      <c r="B89" s="855">
        <v>43656</v>
      </c>
      <c r="C89" s="854" t="s">
        <v>1830</v>
      </c>
      <c r="D89" s="854" t="s">
        <v>1113</v>
      </c>
      <c r="E89" s="854" t="s">
        <v>2055</v>
      </c>
      <c r="F89" s="856">
        <v>3315</v>
      </c>
    </row>
    <row r="90" spans="1:6" ht="14.6" x14ac:dyDescent="0.4">
      <c r="A90" s="854" t="s">
        <v>576</v>
      </c>
      <c r="B90" s="855">
        <v>43656</v>
      </c>
      <c r="C90" s="854" t="s">
        <v>1830</v>
      </c>
      <c r="D90" s="854" t="s">
        <v>1112</v>
      </c>
      <c r="E90" s="854" t="s">
        <v>2056</v>
      </c>
      <c r="F90" s="856">
        <v>3400</v>
      </c>
    </row>
    <row r="91" spans="1:6" ht="14.6" x14ac:dyDescent="0.4">
      <c r="A91" s="854" t="s">
        <v>576</v>
      </c>
      <c r="B91" s="855">
        <v>43657</v>
      </c>
      <c r="C91" s="854" t="s">
        <v>2048</v>
      </c>
      <c r="D91" s="854" t="s">
        <v>2049</v>
      </c>
      <c r="E91" s="854" t="s">
        <v>2057</v>
      </c>
      <c r="F91" s="856">
        <v>828.18</v>
      </c>
    </row>
    <row r="92" spans="1:6" ht="14.6" x14ac:dyDescent="0.4">
      <c r="A92" s="854" t="s">
        <v>576</v>
      </c>
      <c r="B92" s="855">
        <v>43683</v>
      </c>
      <c r="C92" s="854" t="s">
        <v>1584</v>
      </c>
      <c r="D92" s="854" t="s">
        <v>1114</v>
      </c>
      <c r="E92" s="854" t="s">
        <v>2445</v>
      </c>
      <c r="F92" s="856">
        <v>1785</v>
      </c>
    </row>
    <row r="93" spans="1:6" ht="14.6" x14ac:dyDescent="0.4">
      <c r="A93" s="854" t="s">
        <v>576</v>
      </c>
      <c r="B93" s="855">
        <v>43683</v>
      </c>
      <c r="C93" s="854" t="s">
        <v>1584</v>
      </c>
      <c r="D93" s="854" t="s">
        <v>1116</v>
      </c>
      <c r="E93" s="854" t="s">
        <v>2446</v>
      </c>
      <c r="F93" s="856">
        <v>2340</v>
      </c>
    </row>
    <row r="94" spans="1:6" ht="14.6" x14ac:dyDescent="0.4">
      <c r="A94" s="854" t="s">
        <v>576</v>
      </c>
      <c r="B94" s="855">
        <v>43683</v>
      </c>
      <c r="C94" s="854" t="s">
        <v>1584</v>
      </c>
      <c r="D94" s="854" t="s">
        <v>1116</v>
      </c>
      <c r="E94" s="854" t="s">
        <v>1876</v>
      </c>
      <c r="F94" s="856">
        <v>360</v>
      </c>
    </row>
    <row r="95" spans="1:6" ht="14.6" x14ac:dyDescent="0.4">
      <c r="A95" s="854" t="s">
        <v>576</v>
      </c>
      <c r="B95" s="855">
        <v>43683</v>
      </c>
      <c r="C95" s="854" t="s">
        <v>1584</v>
      </c>
      <c r="D95" s="854" t="s">
        <v>1126</v>
      </c>
      <c r="E95" s="854" t="s">
        <v>2445</v>
      </c>
      <c r="F95" s="856">
        <v>1785</v>
      </c>
    </row>
    <row r="96" spans="1:6" ht="14.6" x14ac:dyDescent="0.4">
      <c r="A96" s="854" t="s">
        <v>576</v>
      </c>
      <c r="B96" s="855">
        <v>43683</v>
      </c>
      <c r="C96" s="854" t="s">
        <v>1584</v>
      </c>
      <c r="D96" s="854" t="s">
        <v>1121</v>
      </c>
      <c r="E96" s="854" t="s">
        <v>2446</v>
      </c>
      <c r="F96" s="856">
        <v>2340</v>
      </c>
    </row>
    <row r="97" spans="1:6" ht="14.6" x14ac:dyDescent="0.4">
      <c r="A97" s="854" t="s">
        <v>576</v>
      </c>
      <c r="B97" s="855">
        <v>43683</v>
      </c>
      <c r="C97" s="854" t="s">
        <v>1584</v>
      </c>
      <c r="D97" s="854" t="s">
        <v>1127</v>
      </c>
      <c r="E97" s="854" t="s">
        <v>2447</v>
      </c>
      <c r="F97" s="856">
        <v>1705</v>
      </c>
    </row>
    <row r="98" spans="1:6" ht="14.6" x14ac:dyDescent="0.4">
      <c r="A98" s="854" t="s">
        <v>576</v>
      </c>
      <c r="B98" s="855">
        <v>43683</v>
      </c>
      <c r="C98" s="854" t="s">
        <v>1584</v>
      </c>
      <c r="D98" s="854" t="s">
        <v>1123</v>
      </c>
      <c r="E98" s="854" t="s">
        <v>2448</v>
      </c>
      <c r="F98" s="856">
        <v>2640</v>
      </c>
    </row>
    <row r="99" spans="1:6" ht="14.6" x14ac:dyDescent="0.4">
      <c r="A99" s="854" t="s">
        <v>576</v>
      </c>
      <c r="B99" s="855">
        <v>43683</v>
      </c>
      <c r="C99" s="854" t="s">
        <v>1584</v>
      </c>
      <c r="D99" s="854" t="s">
        <v>1120</v>
      </c>
      <c r="E99" s="854" t="s">
        <v>2445</v>
      </c>
      <c r="F99" s="856">
        <v>1870</v>
      </c>
    </row>
    <row r="100" spans="1:6" ht="14.6" x14ac:dyDescent="0.4">
      <c r="A100" s="854" t="s">
        <v>576</v>
      </c>
      <c r="B100" s="855">
        <v>43683</v>
      </c>
      <c r="C100" s="854" t="s">
        <v>1584</v>
      </c>
      <c r="D100" s="854" t="s">
        <v>1112</v>
      </c>
      <c r="E100" s="854" t="s">
        <v>2449</v>
      </c>
      <c r="F100" s="856">
        <v>1955</v>
      </c>
    </row>
    <row r="101" spans="1:6" ht="14.6" x14ac:dyDescent="0.4">
      <c r="A101" s="854" t="s">
        <v>576</v>
      </c>
      <c r="B101" s="855">
        <v>43683</v>
      </c>
      <c r="C101" s="854" t="s">
        <v>1584</v>
      </c>
      <c r="D101" s="854" t="s">
        <v>1119</v>
      </c>
      <c r="E101" s="854" t="s">
        <v>2445</v>
      </c>
      <c r="F101" s="856">
        <v>1870</v>
      </c>
    </row>
    <row r="102" spans="1:6" ht="14.6" x14ac:dyDescent="0.4">
      <c r="A102" s="854" t="s">
        <v>576</v>
      </c>
      <c r="B102" s="855">
        <v>43683</v>
      </c>
      <c r="C102" s="854" t="s">
        <v>1584</v>
      </c>
      <c r="D102" s="854" t="s">
        <v>1115</v>
      </c>
      <c r="E102" s="854" t="s">
        <v>2445</v>
      </c>
      <c r="F102" s="856">
        <v>2040</v>
      </c>
    </row>
    <row r="103" spans="1:6" ht="14.6" x14ac:dyDescent="0.4">
      <c r="A103" s="854" t="s">
        <v>576</v>
      </c>
      <c r="B103" s="855">
        <v>43683</v>
      </c>
      <c r="C103" s="854" t="s">
        <v>1584</v>
      </c>
      <c r="D103" s="854" t="s">
        <v>1125</v>
      </c>
      <c r="E103" s="854" t="s">
        <v>2450</v>
      </c>
      <c r="F103" s="856">
        <v>310</v>
      </c>
    </row>
    <row r="104" spans="1:6" ht="14.6" x14ac:dyDescent="0.4">
      <c r="A104" s="854" t="s">
        <v>576</v>
      </c>
      <c r="B104" s="855">
        <v>43683</v>
      </c>
      <c r="C104" s="854" t="s">
        <v>1584</v>
      </c>
      <c r="D104" s="854" t="s">
        <v>1124</v>
      </c>
      <c r="E104" s="854" t="s">
        <v>2446</v>
      </c>
      <c r="F104" s="856">
        <v>195</v>
      </c>
    </row>
    <row r="105" spans="1:6" ht="14.6" x14ac:dyDescent="0.4">
      <c r="A105" s="854" t="s">
        <v>576</v>
      </c>
      <c r="B105" s="855">
        <v>43683</v>
      </c>
      <c r="C105" s="854" t="s">
        <v>1584</v>
      </c>
      <c r="D105" s="854" t="s">
        <v>1122</v>
      </c>
      <c r="E105" s="854" t="s">
        <v>2445</v>
      </c>
      <c r="F105" s="856">
        <v>1870</v>
      </c>
    </row>
    <row r="106" spans="1:6" ht="14.6" x14ac:dyDescent="0.4">
      <c r="A106" s="854" t="s">
        <v>576</v>
      </c>
      <c r="B106" s="855">
        <v>43683</v>
      </c>
      <c r="C106" s="854" t="s">
        <v>1584</v>
      </c>
      <c r="D106" s="854" t="s">
        <v>1117</v>
      </c>
      <c r="E106" s="854" t="s">
        <v>2447</v>
      </c>
      <c r="F106" s="856">
        <v>1860</v>
      </c>
    </row>
    <row r="107" spans="1:6" ht="14.6" x14ac:dyDescent="0.4">
      <c r="A107" s="854" t="s">
        <v>576</v>
      </c>
      <c r="B107" s="855">
        <v>43683</v>
      </c>
      <c r="C107" s="854" t="s">
        <v>1584</v>
      </c>
      <c r="D107" s="854" t="s">
        <v>1113</v>
      </c>
      <c r="E107" s="854" t="s">
        <v>2451</v>
      </c>
      <c r="F107" s="856">
        <v>2340</v>
      </c>
    </row>
    <row r="108" spans="1:6" ht="14.6" x14ac:dyDescent="0.4">
      <c r="A108" s="854" t="s">
        <v>576</v>
      </c>
      <c r="B108" s="855">
        <v>43683</v>
      </c>
      <c r="C108" s="854" t="s">
        <v>1584</v>
      </c>
      <c r="D108" s="854" t="s">
        <v>1118</v>
      </c>
      <c r="E108" s="854" t="s">
        <v>2445</v>
      </c>
      <c r="F108" s="856">
        <v>170</v>
      </c>
    </row>
    <row r="109" spans="1:6" ht="14.6" x14ac:dyDescent="0.4">
      <c r="A109" s="854" t="s">
        <v>576</v>
      </c>
      <c r="B109" s="855">
        <v>43712</v>
      </c>
      <c r="C109" s="854" t="s">
        <v>2192</v>
      </c>
      <c r="D109" s="854" t="s">
        <v>1116</v>
      </c>
      <c r="E109" s="854" t="s">
        <v>2452</v>
      </c>
      <c r="F109" s="856">
        <v>390</v>
      </c>
    </row>
    <row r="110" spans="1:6" ht="14.6" x14ac:dyDescent="0.4">
      <c r="A110" s="854" t="s">
        <v>576</v>
      </c>
      <c r="B110" s="855">
        <v>43712</v>
      </c>
      <c r="C110" s="854" t="s">
        <v>2192</v>
      </c>
      <c r="D110" s="854" t="s">
        <v>1116</v>
      </c>
      <c r="E110" s="854" t="s">
        <v>1876</v>
      </c>
      <c r="F110" s="856">
        <v>60</v>
      </c>
    </row>
    <row r="111" spans="1:6" ht="14.6" x14ac:dyDescent="0.4">
      <c r="A111" s="854" t="s">
        <v>576</v>
      </c>
      <c r="B111" s="855">
        <v>43712</v>
      </c>
      <c r="C111" s="854" t="s">
        <v>2192</v>
      </c>
      <c r="D111" s="854" t="s">
        <v>1126</v>
      </c>
      <c r="E111" s="854" t="s">
        <v>2453</v>
      </c>
      <c r="F111" s="856">
        <v>170</v>
      </c>
    </row>
    <row r="112" spans="1:6" ht="14.6" x14ac:dyDescent="0.4">
      <c r="A112" s="854" t="s">
        <v>576</v>
      </c>
      <c r="B112" s="855">
        <v>43712</v>
      </c>
      <c r="C112" s="854" t="s">
        <v>2192</v>
      </c>
      <c r="D112" s="854" t="s">
        <v>1121</v>
      </c>
      <c r="E112" s="854" t="s">
        <v>2452</v>
      </c>
      <c r="F112" s="856">
        <v>390</v>
      </c>
    </row>
    <row r="113" spans="1:6" ht="14.6" x14ac:dyDescent="0.4">
      <c r="A113" s="854" t="s">
        <v>576</v>
      </c>
      <c r="B113" s="855">
        <v>43712</v>
      </c>
      <c r="C113" s="854" t="s">
        <v>2192</v>
      </c>
      <c r="D113" s="854" t="s">
        <v>1120</v>
      </c>
      <c r="E113" s="854" t="s">
        <v>2453</v>
      </c>
      <c r="F113" s="856">
        <v>170</v>
      </c>
    </row>
    <row r="114" spans="1:6" ht="14.6" x14ac:dyDescent="0.4">
      <c r="A114" s="854" t="s">
        <v>576</v>
      </c>
      <c r="B114" s="855">
        <v>43712</v>
      </c>
      <c r="C114" s="854" t="s">
        <v>2192</v>
      </c>
      <c r="D114" s="854" t="s">
        <v>1112</v>
      </c>
      <c r="E114" s="854" t="s">
        <v>2453</v>
      </c>
      <c r="F114" s="856">
        <v>340</v>
      </c>
    </row>
    <row r="115" spans="1:6" ht="14.6" x14ac:dyDescent="0.4">
      <c r="A115" s="854" t="s">
        <v>576</v>
      </c>
      <c r="B115" s="855">
        <v>43712</v>
      </c>
      <c r="C115" s="854" t="s">
        <v>2192</v>
      </c>
      <c r="D115" s="854" t="s">
        <v>1119</v>
      </c>
      <c r="E115" s="854" t="s">
        <v>2453</v>
      </c>
      <c r="F115" s="856">
        <v>170</v>
      </c>
    </row>
    <row r="116" spans="1:6" ht="14.6" x14ac:dyDescent="0.4">
      <c r="A116" s="854" t="s">
        <v>576</v>
      </c>
      <c r="B116" s="855">
        <v>43712</v>
      </c>
      <c r="C116" s="854" t="s">
        <v>2192</v>
      </c>
      <c r="D116" s="854" t="s">
        <v>1115</v>
      </c>
      <c r="E116" s="854" t="s">
        <v>2453</v>
      </c>
      <c r="F116" s="856">
        <v>340</v>
      </c>
    </row>
    <row r="117" spans="1:6" ht="14.6" x14ac:dyDescent="0.4">
      <c r="A117" s="854" t="s">
        <v>576</v>
      </c>
      <c r="B117" s="855">
        <v>43712</v>
      </c>
      <c r="C117" s="854" t="s">
        <v>2192</v>
      </c>
      <c r="D117" s="854" t="s">
        <v>1122</v>
      </c>
      <c r="E117" s="854" t="s">
        <v>2453</v>
      </c>
      <c r="F117" s="856">
        <v>170</v>
      </c>
    </row>
    <row r="118" spans="1:6" ht="14.6" x14ac:dyDescent="0.4">
      <c r="A118" s="854" t="s">
        <v>576</v>
      </c>
      <c r="B118" s="855">
        <v>43712</v>
      </c>
      <c r="C118" s="854" t="s">
        <v>2192</v>
      </c>
      <c r="D118" s="854" t="s">
        <v>1117</v>
      </c>
      <c r="E118" s="854" t="s">
        <v>2454</v>
      </c>
      <c r="F118" s="856">
        <v>155</v>
      </c>
    </row>
    <row r="119" spans="1:6" ht="14.6" x14ac:dyDescent="0.4">
      <c r="A119" s="854" t="s">
        <v>576</v>
      </c>
      <c r="B119" s="855">
        <v>43712</v>
      </c>
      <c r="C119" s="854" t="s">
        <v>2192</v>
      </c>
      <c r="D119" s="854" t="s">
        <v>1113</v>
      </c>
      <c r="E119" s="854" t="s">
        <v>2452</v>
      </c>
      <c r="F119" s="856">
        <v>195</v>
      </c>
    </row>
    <row r="120" spans="1:6" ht="14.6" x14ac:dyDescent="0.4">
      <c r="A120" s="854" t="s">
        <v>576</v>
      </c>
      <c r="B120" s="855">
        <v>43749</v>
      </c>
      <c r="C120" s="854" t="s">
        <v>2775</v>
      </c>
      <c r="D120" s="854" t="s">
        <v>2049</v>
      </c>
      <c r="E120" s="854" t="s">
        <v>2057</v>
      </c>
      <c r="F120" s="856">
        <v>241.6</v>
      </c>
    </row>
    <row r="121" spans="1:6" ht="14.6" x14ac:dyDescent="0.4">
      <c r="A121" s="854" t="s">
        <v>576</v>
      </c>
      <c r="B121" s="855">
        <v>43777</v>
      </c>
      <c r="C121" s="854" t="s">
        <v>2222</v>
      </c>
      <c r="D121" s="854" t="s">
        <v>1113</v>
      </c>
      <c r="E121" s="854" t="s">
        <v>3003</v>
      </c>
      <c r="F121" s="856">
        <v>390</v>
      </c>
    </row>
    <row r="122" spans="1:6" ht="14.6" x14ac:dyDescent="0.4">
      <c r="A122" s="854" t="s">
        <v>576</v>
      </c>
      <c r="B122" s="855">
        <v>43777</v>
      </c>
      <c r="C122" s="854" t="s">
        <v>2222</v>
      </c>
      <c r="D122" s="854" t="s">
        <v>1117</v>
      </c>
      <c r="E122" s="854" t="s">
        <v>3004</v>
      </c>
      <c r="F122" s="856">
        <v>465</v>
      </c>
    </row>
    <row r="123" spans="1:6" ht="14.6" x14ac:dyDescent="0.4">
      <c r="A123" s="854" t="s">
        <v>576</v>
      </c>
      <c r="B123" s="855">
        <v>43777</v>
      </c>
      <c r="C123" s="854" t="s">
        <v>2222</v>
      </c>
      <c r="D123" s="854" t="s">
        <v>1122</v>
      </c>
      <c r="E123" s="854" t="s">
        <v>3005</v>
      </c>
      <c r="F123" s="856">
        <v>510</v>
      </c>
    </row>
    <row r="124" spans="1:6" ht="14.6" x14ac:dyDescent="0.4">
      <c r="A124" s="854" t="s">
        <v>576</v>
      </c>
      <c r="B124" s="855">
        <v>43777</v>
      </c>
      <c r="C124" s="854" t="s">
        <v>2222</v>
      </c>
      <c r="D124" s="854" t="s">
        <v>1115</v>
      </c>
      <c r="E124" s="854" t="s">
        <v>3005</v>
      </c>
      <c r="F124" s="856">
        <v>680</v>
      </c>
    </row>
    <row r="125" spans="1:6" ht="14.6" x14ac:dyDescent="0.4">
      <c r="A125" s="854" t="s">
        <v>576</v>
      </c>
      <c r="B125" s="855">
        <v>43777</v>
      </c>
      <c r="C125" s="854" t="s">
        <v>2222</v>
      </c>
      <c r="D125" s="854" t="s">
        <v>1119</v>
      </c>
      <c r="E125" s="854" t="s">
        <v>3005</v>
      </c>
      <c r="F125" s="856">
        <v>340</v>
      </c>
    </row>
    <row r="126" spans="1:6" ht="14.6" x14ac:dyDescent="0.4">
      <c r="A126" s="854" t="s">
        <v>576</v>
      </c>
      <c r="B126" s="855">
        <v>43777</v>
      </c>
      <c r="C126" s="854" t="s">
        <v>2222</v>
      </c>
      <c r="D126" s="854" t="s">
        <v>1112</v>
      </c>
      <c r="E126" s="854" t="s">
        <v>3005</v>
      </c>
      <c r="F126" s="856">
        <v>340</v>
      </c>
    </row>
    <row r="127" spans="1:6" ht="14.6" x14ac:dyDescent="0.4">
      <c r="A127" s="854" t="s">
        <v>576</v>
      </c>
      <c r="B127" s="855">
        <v>43777</v>
      </c>
      <c r="C127" s="854" t="s">
        <v>2222</v>
      </c>
      <c r="D127" s="854" t="s">
        <v>1120</v>
      </c>
      <c r="E127" s="854" t="s">
        <v>3005</v>
      </c>
      <c r="F127" s="856">
        <v>510</v>
      </c>
    </row>
    <row r="128" spans="1:6" ht="14.6" x14ac:dyDescent="0.4">
      <c r="A128" s="854" t="s">
        <v>576</v>
      </c>
      <c r="B128" s="855">
        <v>43777</v>
      </c>
      <c r="C128" s="854" t="s">
        <v>2222</v>
      </c>
      <c r="D128" s="854" t="s">
        <v>1123</v>
      </c>
      <c r="E128" s="854" t="s">
        <v>3006</v>
      </c>
      <c r="F128" s="856">
        <v>220</v>
      </c>
    </row>
    <row r="129" spans="1:6" ht="14.6" x14ac:dyDescent="0.4">
      <c r="A129" s="854" t="s">
        <v>576</v>
      </c>
      <c r="B129" s="855">
        <v>43777</v>
      </c>
      <c r="C129" s="854" t="s">
        <v>2222</v>
      </c>
      <c r="D129" s="854" t="s">
        <v>1127</v>
      </c>
      <c r="E129" s="854" t="s">
        <v>3004</v>
      </c>
      <c r="F129" s="856">
        <v>310</v>
      </c>
    </row>
    <row r="130" spans="1:6" ht="14.6" x14ac:dyDescent="0.4">
      <c r="A130" s="854" t="s">
        <v>576</v>
      </c>
      <c r="B130" s="855">
        <v>43777</v>
      </c>
      <c r="C130" s="854" t="s">
        <v>2222</v>
      </c>
      <c r="D130" s="854" t="s">
        <v>1121</v>
      </c>
      <c r="E130" s="854" t="s">
        <v>3003</v>
      </c>
      <c r="F130" s="856">
        <v>780</v>
      </c>
    </row>
    <row r="131" spans="1:6" ht="14.6" x14ac:dyDescent="0.4">
      <c r="A131" s="854" t="s">
        <v>576</v>
      </c>
      <c r="B131" s="855">
        <v>43777</v>
      </c>
      <c r="C131" s="854" t="s">
        <v>2222</v>
      </c>
      <c r="D131" s="854" t="s">
        <v>1126</v>
      </c>
      <c r="E131" s="854" t="s">
        <v>3005</v>
      </c>
      <c r="F131" s="856">
        <v>680</v>
      </c>
    </row>
    <row r="132" spans="1:6" ht="14.6" x14ac:dyDescent="0.4">
      <c r="A132" s="854" t="s">
        <v>576</v>
      </c>
      <c r="B132" s="855">
        <v>43777</v>
      </c>
      <c r="C132" s="854" t="s">
        <v>2222</v>
      </c>
      <c r="D132" s="854" t="s">
        <v>1116</v>
      </c>
      <c r="E132" s="854" t="s">
        <v>3003</v>
      </c>
      <c r="F132" s="856">
        <v>780</v>
      </c>
    </row>
    <row r="133" spans="1:6" ht="14.6" x14ac:dyDescent="0.4">
      <c r="A133" s="854" t="s">
        <v>576</v>
      </c>
      <c r="B133" s="855">
        <v>43777</v>
      </c>
      <c r="C133" s="854" t="s">
        <v>2222</v>
      </c>
      <c r="D133" s="854" t="s">
        <v>1116</v>
      </c>
      <c r="E133" s="854" t="s">
        <v>1876</v>
      </c>
      <c r="F133" s="856">
        <v>120</v>
      </c>
    </row>
    <row r="134" spans="1:6" ht="14.6" x14ac:dyDescent="0.4">
      <c r="A134" s="854" t="s">
        <v>576</v>
      </c>
      <c r="B134" s="855">
        <v>43817</v>
      </c>
      <c r="C134" s="854" t="s">
        <v>3102</v>
      </c>
      <c r="D134" s="854" t="s">
        <v>1112</v>
      </c>
      <c r="E134" s="854" t="s">
        <v>3268</v>
      </c>
      <c r="F134" s="856">
        <v>340</v>
      </c>
    </row>
    <row r="135" spans="1:6" ht="14.6" x14ac:dyDescent="0.4">
      <c r="A135" s="854" t="s">
        <v>576</v>
      </c>
      <c r="B135" s="855">
        <v>43817</v>
      </c>
      <c r="C135" s="854" t="s">
        <v>3102</v>
      </c>
      <c r="D135" s="854" t="s">
        <v>1115</v>
      </c>
      <c r="E135" s="854" t="s">
        <v>3268</v>
      </c>
      <c r="F135" s="856">
        <v>340</v>
      </c>
    </row>
    <row r="136" spans="1:6" ht="14.6" x14ac:dyDescent="0.4">
      <c r="A136" s="854" t="s">
        <v>576</v>
      </c>
      <c r="B136" s="855">
        <v>43817</v>
      </c>
      <c r="C136" s="854" t="s">
        <v>3102</v>
      </c>
      <c r="D136" s="854" t="s">
        <v>1116</v>
      </c>
      <c r="E136" s="854" t="s">
        <v>3269</v>
      </c>
      <c r="F136" s="856">
        <v>390</v>
      </c>
    </row>
    <row r="137" spans="1:6" ht="14.6" x14ac:dyDescent="0.4">
      <c r="A137" s="854" t="s">
        <v>576</v>
      </c>
      <c r="B137" s="855">
        <v>43817</v>
      </c>
      <c r="C137" s="854" t="s">
        <v>3102</v>
      </c>
      <c r="D137" s="854" t="s">
        <v>1116</v>
      </c>
      <c r="E137" s="854" t="s">
        <v>1876</v>
      </c>
      <c r="F137" s="856">
        <v>60</v>
      </c>
    </row>
    <row r="138" spans="1:6" ht="15" customHeight="1" x14ac:dyDescent="0.4">
      <c r="A138" s="854" t="s">
        <v>576</v>
      </c>
      <c r="B138" s="855">
        <v>43817</v>
      </c>
      <c r="C138" s="854" t="s">
        <v>3102</v>
      </c>
      <c r="D138" s="854" t="s">
        <v>1119</v>
      </c>
      <c r="E138" s="854" t="s">
        <v>3268</v>
      </c>
      <c r="F138" s="856">
        <v>340</v>
      </c>
    </row>
    <row r="139" spans="1:6" ht="15" customHeight="1" x14ac:dyDescent="0.4">
      <c r="A139" s="854" t="s">
        <v>576</v>
      </c>
      <c r="B139" s="855">
        <v>43817</v>
      </c>
      <c r="C139" s="854" t="s">
        <v>3102</v>
      </c>
      <c r="D139" s="854" t="s">
        <v>1121</v>
      </c>
      <c r="E139" s="854" t="s">
        <v>3269</v>
      </c>
      <c r="F139" s="856">
        <v>390</v>
      </c>
    </row>
    <row r="140" spans="1:6" ht="15" customHeight="1" x14ac:dyDescent="0.4">
      <c r="A140" s="854" t="s">
        <v>576</v>
      </c>
      <c r="B140" s="855">
        <v>43817</v>
      </c>
      <c r="C140" s="854" t="s">
        <v>3102</v>
      </c>
      <c r="D140" s="854" t="s">
        <v>1122</v>
      </c>
      <c r="E140" s="854" t="s">
        <v>3268</v>
      </c>
      <c r="F140" s="856">
        <v>340</v>
      </c>
    </row>
    <row r="141" spans="1:6" ht="15" customHeight="1" thickBot="1" x14ac:dyDescent="0.45">
      <c r="A141" s="854" t="s">
        <v>576</v>
      </c>
      <c r="B141" s="855">
        <v>43817</v>
      </c>
      <c r="C141" s="854" t="s">
        <v>3102</v>
      </c>
      <c r="D141" s="854" t="s">
        <v>1127</v>
      </c>
      <c r="E141" s="854" t="s">
        <v>3270</v>
      </c>
      <c r="F141" s="857">
        <v>310</v>
      </c>
    </row>
    <row r="142" spans="1:6" ht="15" customHeight="1" thickBot="1" x14ac:dyDescent="0.45">
      <c r="A142" s="854"/>
      <c r="B142" s="855"/>
      <c r="C142" s="854"/>
      <c r="D142" s="854"/>
      <c r="E142" s="854"/>
      <c r="F142" s="858">
        <f>ROUND(SUM(F3:F141),5)</f>
        <v>140297.28</v>
      </c>
    </row>
    <row r="143" spans="1:6" ht="15" customHeight="1" thickBot="1" x14ac:dyDescent="0.45">
      <c r="A143" s="854"/>
      <c r="B143" s="855"/>
      <c r="C143" s="854"/>
      <c r="D143" s="854"/>
      <c r="E143" s="854"/>
      <c r="F143" s="858">
        <f>F142</f>
        <v>140297.28</v>
      </c>
    </row>
    <row r="144" spans="1:6" ht="15" customHeight="1" thickBot="1" x14ac:dyDescent="0.45">
      <c r="A144" s="854"/>
      <c r="B144" s="855"/>
      <c r="C144" s="854"/>
      <c r="D144" s="854"/>
      <c r="E144" s="854"/>
      <c r="F144" s="859">
        <f>F143</f>
        <v>140297.28</v>
      </c>
    </row>
    <row r="145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4:43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586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35860" r:id="rId4" name="HEADER"/>
      </mc:Fallback>
    </mc:AlternateContent>
    <mc:AlternateContent xmlns:mc="http://schemas.openxmlformats.org/markup-compatibility/2006">
      <mc:Choice Requires="x14">
        <control shapeId="3585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35859" r:id="rId6" name="FILTER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F14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D1" sqref="A1:D1048576"/>
    </sheetView>
  </sheetViews>
  <sheetFormatPr defaultColWidth="14.3828125" defaultRowHeight="15" customHeight="1" x14ac:dyDescent="0.4"/>
  <cols>
    <col min="1" max="1" width="5.3046875" style="861" bestFit="1" customWidth="1"/>
    <col min="2" max="2" width="10.69140625" style="861" bestFit="1" customWidth="1"/>
    <col min="3" max="3" width="13.15234375" style="861" bestFit="1" customWidth="1"/>
    <col min="4" max="5" width="30.69140625" style="861" customWidth="1"/>
    <col min="6" max="6" width="8.15234375" style="861" bestFit="1" customWidth="1"/>
  </cols>
  <sheetData>
    <row r="1" spans="1:6" s="877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43493</v>
      </c>
      <c r="C4" s="854" t="s">
        <v>1137</v>
      </c>
      <c r="D4" s="854" t="s">
        <v>595</v>
      </c>
      <c r="E4" s="854" t="s">
        <v>1139</v>
      </c>
      <c r="F4" s="856">
        <v>62.31</v>
      </c>
    </row>
    <row r="5" spans="1:6" ht="14.6" x14ac:dyDescent="0.4">
      <c r="A5" s="854" t="s">
        <v>576</v>
      </c>
      <c r="B5" s="855">
        <v>43500</v>
      </c>
      <c r="C5" s="854" t="s">
        <v>1138</v>
      </c>
      <c r="D5" s="854" t="s">
        <v>595</v>
      </c>
      <c r="E5" s="854" t="s">
        <v>1140</v>
      </c>
      <c r="F5" s="856">
        <v>31</v>
      </c>
    </row>
    <row r="6" spans="1:6" ht="14.6" x14ac:dyDescent="0.4">
      <c r="A6" s="854" t="s">
        <v>576</v>
      </c>
      <c r="B6" s="855">
        <v>43537</v>
      </c>
      <c r="C6" s="854" t="s">
        <v>1162</v>
      </c>
      <c r="D6" s="854" t="s">
        <v>596</v>
      </c>
      <c r="E6" s="854" t="s">
        <v>1431</v>
      </c>
      <c r="F6" s="856">
        <v>31.5</v>
      </c>
    </row>
    <row r="7" spans="1:6" ht="14.6" x14ac:dyDescent="0.4">
      <c r="A7" s="854" t="s">
        <v>576</v>
      </c>
      <c r="B7" s="855">
        <v>43578</v>
      </c>
      <c r="C7" s="854" t="s">
        <v>1238</v>
      </c>
      <c r="D7" s="854" t="s">
        <v>1243</v>
      </c>
      <c r="E7" s="854" t="s">
        <v>1880</v>
      </c>
      <c r="F7" s="856">
        <v>5.98</v>
      </c>
    </row>
    <row r="8" spans="1:6" ht="14.6" x14ac:dyDescent="0.4">
      <c r="A8" s="854" t="s">
        <v>576</v>
      </c>
      <c r="B8" s="855">
        <v>43587</v>
      </c>
      <c r="C8" s="854" t="s">
        <v>1546</v>
      </c>
      <c r="D8" s="854" t="s">
        <v>1142</v>
      </c>
      <c r="E8" s="854" t="s">
        <v>1547</v>
      </c>
      <c r="F8" s="856">
        <v>22</v>
      </c>
    </row>
    <row r="9" spans="1:6" ht="14.6" x14ac:dyDescent="0.4">
      <c r="A9" s="854" t="s">
        <v>576</v>
      </c>
      <c r="B9" s="855">
        <v>43629</v>
      </c>
      <c r="C9" s="854" t="s">
        <v>1674</v>
      </c>
      <c r="D9" s="854" t="s">
        <v>596</v>
      </c>
      <c r="E9" s="854" t="s">
        <v>1881</v>
      </c>
      <c r="F9" s="856">
        <v>12.35</v>
      </c>
    </row>
    <row r="10" spans="1:6" thickBot="1" x14ac:dyDescent="0.45">
      <c r="A10" s="854" t="s">
        <v>576</v>
      </c>
      <c r="B10" s="855">
        <v>43676</v>
      </c>
      <c r="C10" s="854" t="s">
        <v>2062</v>
      </c>
      <c r="D10" s="854" t="s">
        <v>596</v>
      </c>
      <c r="E10" s="854" t="s">
        <v>2455</v>
      </c>
      <c r="F10" s="857">
        <v>21.94</v>
      </c>
    </row>
    <row r="11" spans="1:6" thickBot="1" x14ac:dyDescent="0.45">
      <c r="A11" s="854"/>
      <c r="B11" s="855"/>
      <c r="C11" s="854"/>
      <c r="D11" s="854"/>
      <c r="E11" s="854"/>
      <c r="F11" s="858">
        <f>ROUND(SUM(F3:F10),5)</f>
        <v>187.08</v>
      </c>
    </row>
    <row r="12" spans="1:6" thickBot="1" x14ac:dyDescent="0.45">
      <c r="A12" s="854"/>
      <c r="B12" s="855"/>
      <c r="C12" s="854"/>
      <c r="D12" s="854"/>
      <c r="E12" s="854"/>
      <c r="F12" s="858">
        <f>F11</f>
        <v>187.08</v>
      </c>
    </row>
    <row r="13" spans="1:6" thickBot="1" x14ac:dyDescent="0.45">
      <c r="A13" s="854"/>
      <c r="B13" s="855"/>
      <c r="C13" s="854"/>
      <c r="D13" s="854"/>
      <c r="E13" s="854"/>
      <c r="F13" s="859">
        <f>F12</f>
        <v>187.08</v>
      </c>
    </row>
    <row r="14" spans="1:6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7:50 AM
&amp;"Arial,Bold"&amp;8 09/19/19
&amp;"Arial,Bold"&amp;8 Accrual Basis&amp;C&amp;"Arial,Bold"&amp;12 Williamson Central Appraisal District
&amp;"Arial,Bold"&amp;14 Account QuickReport
&amp;"Arial,Bold"&amp;10 January 1 through September 19,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68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36873" r:id="rId4" name="FILTER"/>
      </mc:Fallback>
    </mc:AlternateContent>
    <mc:AlternateContent xmlns:mc="http://schemas.openxmlformats.org/markup-compatibility/2006">
      <mc:Choice Requires="x14">
        <control shapeId="368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36874" r:id="rId6" name="HEADER"/>
      </mc:Fallback>
    </mc:AlternateContent>
  </control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2"/>
  <dimension ref="A1:F16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D1" sqref="A1:D1048576"/>
    </sheetView>
  </sheetViews>
  <sheetFormatPr defaultColWidth="14.3828125" defaultRowHeight="15" customHeight="1" x14ac:dyDescent="0.4"/>
  <cols>
    <col min="1" max="1" width="5.3046875" style="861" bestFit="1" customWidth="1"/>
    <col min="2" max="2" width="10.69140625" style="861" bestFit="1" customWidth="1"/>
    <col min="3" max="3" width="7.53515625" style="861" bestFit="1" customWidth="1"/>
    <col min="4" max="4" width="25.84375" style="861" bestFit="1" customWidth="1"/>
    <col min="5" max="5" width="30.69140625" style="861" customWidth="1"/>
    <col min="6" max="6" width="9.15234375" style="861" bestFit="1" customWidth="1"/>
  </cols>
  <sheetData>
    <row r="1" spans="1:6" s="879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43572</v>
      </c>
      <c r="C4" s="854" t="s">
        <v>1548</v>
      </c>
      <c r="D4" s="854" t="s">
        <v>1549</v>
      </c>
      <c r="E4" s="854" t="s">
        <v>1550</v>
      </c>
      <c r="F4" s="856">
        <v>944.63</v>
      </c>
    </row>
    <row r="5" spans="1:6" ht="14.6" x14ac:dyDescent="0.4">
      <c r="A5" s="854" t="s">
        <v>576</v>
      </c>
      <c r="B5" s="855">
        <v>43572</v>
      </c>
      <c r="C5" s="854" t="s">
        <v>1548</v>
      </c>
      <c r="D5" s="854" t="s">
        <v>1549</v>
      </c>
      <c r="E5" s="854" t="s">
        <v>1551</v>
      </c>
      <c r="F5" s="856">
        <v>110.84</v>
      </c>
    </row>
    <row r="6" spans="1:6" s="876" customFormat="1" ht="14.6" x14ac:dyDescent="0.4">
      <c r="A6" s="854" t="s">
        <v>576</v>
      </c>
      <c r="B6" s="855">
        <v>43598</v>
      </c>
      <c r="C6" s="854" t="s">
        <v>1238</v>
      </c>
      <c r="D6" s="854" t="s">
        <v>1194</v>
      </c>
      <c r="E6" s="854" t="s">
        <v>1655</v>
      </c>
      <c r="F6" s="856">
        <v>3500</v>
      </c>
    </row>
    <row r="7" spans="1:6" ht="14.6" x14ac:dyDescent="0.4">
      <c r="A7" s="854" t="s">
        <v>576</v>
      </c>
      <c r="B7" s="855">
        <v>43619</v>
      </c>
      <c r="C7" s="854" t="s">
        <v>1512</v>
      </c>
      <c r="D7" s="854" t="s">
        <v>1194</v>
      </c>
      <c r="E7" s="854" t="s">
        <v>1655</v>
      </c>
      <c r="F7" s="856">
        <v>3025</v>
      </c>
    </row>
    <row r="8" spans="1:6" ht="14.6" x14ac:dyDescent="0.4">
      <c r="A8" s="854" t="s">
        <v>576</v>
      </c>
      <c r="B8" s="855">
        <v>43657</v>
      </c>
      <c r="C8" s="854" t="s">
        <v>1830</v>
      </c>
      <c r="D8" s="854" t="s">
        <v>1194</v>
      </c>
      <c r="E8" s="854" t="s">
        <v>1655</v>
      </c>
      <c r="F8" s="856">
        <v>3527</v>
      </c>
    </row>
    <row r="9" spans="1:6" ht="14.6" x14ac:dyDescent="0.4">
      <c r="A9" s="854" t="s">
        <v>576</v>
      </c>
      <c r="B9" s="855">
        <v>43677</v>
      </c>
      <c r="C9" s="854" t="s">
        <v>1584</v>
      </c>
      <c r="D9" s="854" t="s">
        <v>1194</v>
      </c>
      <c r="E9" s="854" t="s">
        <v>1655</v>
      </c>
      <c r="F9" s="856">
        <v>3530.27</v>
      </c>
    </row>
    <row r="10" spans="1:6" ht="14.6" x14ac:dyDescent="0.4">
      <c r="A10" s="854" t="s">
        <v>576</v>
      </c>
      <c r="B10" s="855">
        <v>43719</v>
      </c>
      <c r="C10" s="854" t="s">
        <v>2706</v>
      </c>
      <c r="D10" s="854" t="s">
        <v>1839</v>
      </c>
      <c r="E10" s="854" t="s">
        <v>2709</v>
      </c>
      <c r="F10" s="856">
        <v>84</v>
      </c>
    </row>
    <row r="11" spans="1:6" ht="14.6" x14ac:dyDescent="0.4">
      <c r="A11" s="854" t="s">
        <v>576</v>
      </c>
      <c r="B11" s="855">
        <v>43727</v>
      </c>
      <c r="C11" s="854" t="s">
        <v>2776</v>
      </c>
      <c r="D11" s="854" t="s">
        <v>1516</v>
      </c>
      <c r="E11" s="854" t="s">
        <v>2777</v>
      </c>
      <c r="F11" s="856">
        <v>126</v>
      </c>
    </row>
    <row r="12" spans="1:6" thickBot="1" x14ac:dyDescent="0.45">
      <c r="A12" s="854" t="s">
        <v>576</v>
      </c>
      <c r="B12" s="855">
        <v>43739</v>
      </c>
      <c r="C12" s="854" t="s">
        <v>2179</v>
      </c>
      <c r="D12" s="854" t="s">
        <v>993</v>
      </c>
      <c r="E12" s="854" t="s">
        <v>2777</v>
      </c>
      <c r="F12" s="857">
        <v>154.6</v>
      </c>
    </row>
    <row r="13" spans="1:6" thickBot="1" x14ac:dyDescent="0.45">
      <c r="A13" s="854"/>
      <c r="B13" s="855"/>
      <c r="C13" s="854"/>
      <c r="D13" s="854"/>
      <c r="E13" s="854"/>
      <c r="F13" s="858">
        <f>ROUND(SUM(F3:F12),5)</f>
        <v>15002.34</v>
      </c>
    </row>
    <row r="14" spans="1:6" ht="15" customHeight="1" thickBot="1" x14ac:dyDescent="0.45">
      <c r="A14" s="854"/>
      <c r="B14" s="855"/>
      <c r="C14" s="854"/>
      <c r="D14" s="854"/>
      <c r="E14" s="854"/>
      <c r="F14" s="858">
        <f>F13</f>
        <v>15002.34</v>
      </c>
    </row>
    <row r="15" spans="1:6" ht="15" customHeight="1" thickBot="1" x14ac:dyDescent="0.45">
      <c r="A15" s="854"/>
      <c r="B15" s="855"/>
      <c r="C15" s="854"/>
      <c r="D15" s="854"/>
      <c r="E15" s="854"/>
      <c r="F15" s="859">
        <f>F14</f>
        <v>15002.34</v>
      </c>
    </row>
    <row r="16" spans="1:6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10:52 AM
&amp;"Arial,Bold"&amp;8 11/04/19
&amp;"Arial,Bold"&amp;8 Accrual Basis&amp;C&amp;"Arial,Bold"&amp;12 Williamson Central Appraisal District
&amp;"Arial,Bold"&amp;14 Account QuickReport
&amp;"Arial,Bold"&amp;10 January 1 through November 4,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199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41994" r:id="rId4" name="HEADER"/>
      </mc:Fallback>
    </mc:AlternateContent>
    <mc:AlternateContent xmlns:mc="http://schemas.openxmlformats.org/markup-compatibility/2006">
      <mc:Choice Requires="x14">
        <control shapeId="4199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41993" r:id="rId6" name="FILTER"/>
      </mc:Fallback>
    </mc:AlternateContent>
  </control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/>
  <dimension ref="A1:F41"/>
  <sheetViews>
    <sheetView workbookViewId="0">
      <pane xSplit="1" ySplit="1" topLeftCell="B5" activePane="bottomRight" state="frozenSplit"/>
      <selection pane="topRight" activeCell="D1" sqref="D1"/>
      <selection pane="bottomLeft" activeCell="A2" sqref="A2"/>
      <selection pane="bottomRight" activeCell="D1" sqref="A1:D1048576"/>
    </sheetView>
  </sheetViews>
  <sheetFormatPr defaultColWidth="14.3828125" defaultRowHeight="15" customHeight="1" x14ac:dyDescent="0.4"/>
  <cols>
    <col min="1" max="1" width="5.3046875" style="861" bestFit="1" customWidth="1"/>
    <col min="2" max="2" width="10.69140625" style="861" bestFit="1" customWidth="1"/>
    <col min="3" max="3" width="12.3828125" style="861" bestFit="1" customWidth="1"/>
    <col min="4" max="5" width="30.69140625" style="861" customWidth="1"/>
    <col min="6" max="6" width="8.15234375" style="861" bestFit="1" customWidth="1"/>
  </cols>
  <sheetData>
    <row r="1" spans="1:6" s="862" customFormat="1" ht="15" customHeigh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ht="15" customHeight="1" thickTop="1" x14ac:dyDescent="0.4">
      <c r="A2" s="854"/>
      <c r="B2" s="855"/>
      <c r="C2" s="854"/>
      <c r="D2" s="854"/>
      <c r="E2" s="854"/>
      <c r="F2" s="856"/>
    </row>
    <row r="3" spans="1:6" ht="15" customHeight="1" x14ac:dyDescent="0.4">
      <c r="A3" s="854"/>
      <c r="B3" s="855"/>
      <c r="C3" s="854"/>
      <c r="D3" s="854"/>
      <c r="E3" s="854"/>
      <c r="F3" s="856"/>
    </row>
    <row r="4" spans="1:6" ht="15" customHeight="1" x14ac:dyDescent="0.4">
      <c r="A4" s="854" t="s">
        <v>576</v>
      </c>
      <c r="B4" s="855">
        <v>43472</v>
      </c>
      <c r="C4" s="854" t="s">
        <v>1141</v>
      </c>
      <c r="D4" s="854" t="s">
        <v>1142</v>
      </c>
      <c r="E4" s="854" t="s">
        <v>1143</v>
      </c>
      <c r="F4" s="856">
        <v>800</v>
      </c>
    </row>
    <row r="5" spans="1:6" ht="15" customHeight="1" x14ac:dyDescent="0.4">
      <c r="A5" s="854" t="s">
        <v>576</v>
      </c>
      <c r="B5" s="855">
        <v>43472</v>
      </c>
      <c r="C5" s="854" t="s">
        <v>1141</v>
      </c>
      <c r="D5" s="854" t="s">
        <v>1142</v>
      </c>
      <c r="E5" s="854" t="s">
        <v>1144</v>
      </c>
      <c r="F5" s="856">
        <v>800</v>
      </c>
    </row>
    <row r="6" spans="1:6" ht="15" customHeight="1" x14ac:dyDescent="0.4">
      <c r="A6" s="854" t="s">
        <v>576</v>
      </c>
      <c r="B6" s="855">
        <v>43516</v>
      </c>
      <c r="C6" s="854" t="s">
        <v>723</v>
      </c>
      <c r="D6" s="854" t="s">
        <v>1112</v>
      </c>
      <c r="E6" s="854" t="s">
        <v>1145</v>
      </c>
      <c r="F6" s="856">
        <v>27.48</v>
      </c>
    </row>
    <row r="7" spans="1:6" ht="15" customHeight="1" x14ac:dyDescent="0.4">
      <c r="A7" s="854" t="s">
        <v>576</v>
      </c>
      <c r="B7" s="855">
        <v>43516</v>
      </c>
      <c r="C7" s="854" t="s">
        <v>723</v>
      </c>
      <c r="D7" s="854" t="s">
        <v>1112</v>
      </c>
      <c r="E7" s="854" t="s">
        <v>1146</v>
      </c>
      <c r="F7" s="856">
        <v>28.83</v>
      </c>
    </row>
    <row r="8" spans="1:6" ht="15" customHeight="1" x14ac:dyDescent="0.4">
      <c r="A8" s="854" t="s">
        <v>576</v>
      </c>
      <c r="B8" s="855">
        <v>43516</v>
      </c>
      <c r="C8" s="854" t="s">
        <v>723</v>
      </c>
      <c r="D8" s="854" t="s">
        <v>1113</v>
      </c>
      <c r="E8" s="854" t="s">
        <v>1147</v>
      </c>
      <c r="F8" s="856">
        <v>22.15</v>
      </c>
    </row>
    <row r="9" spans="1:6" ht="15" customHeight="1" x14ac:dyDescent="0.4">
      <c r="A9" s="854" t="s">
        <v>576</v>
      </c>
      <c r="B9" s="855">
        <v>43516</v>
      </c>
      <c r="C9" s="854" t="s">
        <v>723</v>
      </c>
      <c r="D9" s="854" t="s">
        <v>1113</v>
      </c>
      <c r="E9" s="854" t="s">
        <v>1146</v>
      </c>
      <c r="F9" s="856">
        <v>30.6</v>
      </c>
    </row>
    <row r="10" spans="1:6" ht="15" customHeight="1" x14ac:dyDescent="0.4">
      <c r="A10" s="854" t="s">
        <v>576</v>
      </c>
      <c r="B10" s="855">
        <v>43516</v>
      </c>
      <c r="C10" s="854" t="s">
        <v>723</v>
      </c>
      <c r="D10" s="854" t="s">
        <v>1114</v>
      </c>
      <c r="E10" s="854" t="s">
        <v>1148</v>
      </c>
      <c r="F10" s="856">
        <v>19.72</v>
      </c>
    </row>
    <row r="11" spans="1:6" ht="15" customHeight="1" x14ac:dyDescent="0.4">
      <c r="A11" s="854" t="s">
        <v>576</v>
      </c>
      <c r="B11" s="855">
        <v>43516</v>
      </c>
      <c r="C11" s="854" t="s">
        <v>723</v>
      </c>
      <c r="D11" s="854" t="s">
        <v>1114</v>
      </c>
      <c r="E11" s="854" t="s">
        <v>1149</v>
      </c>
      <c r="F11" s="856">
        <v>19.72</v>
      </c>
    </row>
    <row r="12" spans="1:6" ht="15" customHeight="1" x14ac:dyDescent="0.4">
      <c r="A12" s="854" t="s">
        <v>576</v>
      </c>
      <c r="B12" s="855">
        <v>43516</v>
      </c>
      <c r="C12" s="854" t="s">
        <v>723</v>
      </c>
      <c r="D12" s="854" t="s">
        <v>1115</v>
      </c>
      <c r="E12" s="854" t="s">
        <v>1150</v>
      </c>
      <c r="F12" s="856">
        <v>11.9</v>
      </c>
    </row>
    <row r="13" spans="1:6" ht="15" customHeight="1" x14ac:dyDescent="0.4">
      <c r="A13" s="854" t="s">
        <v>576</v>
      </c>
      <c r="B13" s="855">
        <v>43516</v>
      </c>
      <c r="C13" s="854" t="s">
        <v>723</v>
      </c>
      <c r="D13" s="854" t="s">
        <v>1115</v>
      </c>
      <c r="E13" s="854" t="s">
        <v>1151</v>
      </c>
      <c r="F13" s="856">
        <v>15.41</v>
      </c>
    </row>
    <row r="14" spans="1:6" ht="15" customHeight="1" x14ac:dyDescent="0.4">
      <c r="A14" s="854" t="s">
        <v>576</v>
      </c>
      <c r="B14" s="855">
        <v>43516</v>
      </c>
      <c r="C14" s="854" t="s">
        <v>723</v>
      </c>
      <c r="D14" s="854" t="s">
        <v>1116</v>
      </c>
      <c r="E14" s="854" t="s">
        <v>1147</v>
      </c>
      <c r="F14" s="856">
        <v>32.869999999999997</v>
      </c>
    </row>
    <row r="15" spans="1:6" ht="15" customHeight="1" x14ac:dyDescent="0.4">
      <c r="A15" s="854" t="s">
        <v>576</v>
      </c>
      <c r="B15" s="855">
        <v>43516</v>
      </c>
      <c r="C15" s="854" t="s">
        <v>723</v>
      </c>
      <c r="D15" s="854" t="s">
        <v>1116</v>
      </c>
      <c r="E15" s="854" t="s">
        <v>1152</v>
      </c>
      <c r="F15" s="856">
        <v>31.47</v>
      </c>
    </row>
    <row r="16" spans="1:6" ht="15" customHeight="1" x14ac:dyDescent="0.4">
      <c r="A16" s="854" t="s">
        <v>576</v>
      </c>
      <c r="B16" s="855">
        <v>43516</v>
      </c>
      <c r="C16" s="854" t="s">
        <v>723</v>
      </c>
      <c r="D16" s="854" t="s">
        <v>1117</v>
      </c>
      <c r="E16" s="854" t="s">
        <v>1147</v>
      </c>
      <c r="F16" s="856">
        <v>40.17</v>
      </c>
    </row>
    <row r="17" spans="1:6" ht="15" customHeight="1" x14ac:dyDescent="0.4">
      <c r="A17" s="854" t="s">
        <v>576</v>
      </c>
      <c r="B17" s="855">
        <v>43516</v>
      </c>
      <c r="C17" s="854" t="s">
        <v>723</v>
      </c>
      <c r="D17" s="854" t="s">
        <v>1117</v>
      </c>
      <c r="E17" s="854" t="s">
        <v>1152</v>
      </c>
      <c r="F17" s="856">
        <v>40.17</v>
      </c>
    </row>
    <row r="18" spans="1:6" ht="15" customHeight="1" x14ac:dyDescent="0.4">
      <c r="A18" s="854" t="s">
        <v>576</v>
      </c>
      <c r="B18" s="855">
        <v>43516</v>
      </c>
      <c r="C18" s="854" t="s">
        <v>723</v>
      </c>
      <c r="D18" s="854" t="s">
        <v>1118</v>
      </c>
      <c r="E18" s="854" t="s">
        <v>1147</v>
      </c>
      <c r="F18" s="856">
        <v>43.67</v>
      </c>
    </row>
    <row r="19" spans="1:6" ht="15" customHeight="1" x14ac:dyDescent="0.4">
      <c r="A19" s="854" t="s">
        <v>576</v>
      </c>
      <c r="B19" s="855">
        <v>43516</v>
      </c>
      <c r="C19" s="854" t="s">
        <v>723</v>
      </c>
      <c r="D19" s="854" t="s">
        <v>1118</v>
      </c>
      <c r="E19" s="854" t="s">
        <v>1152</v>
      </c>
      <c r="F19" s="856">
        <v>39.770000000000003</v>
      </c>
    </row>
    <row r="20" spans="1:6" ht="15" customHeight="1" x14ac:dyDescent="0.4">
      <c r="A20" s="854" t="s">
        <v>576</v>
      </c>
      <c r="B20" s="855">
        <v>43516</v>
      </c>
      <c r="C20" s="854" t="s">
        <v>723</v>
      </c>
      <c r="D20" s="854" t="s">
        <v>1119</v>
      </c>
      <c r="E20" s="854" t="s">
        <v>1147</v>
      </c>
      <c r="F20" s="856">
        <v>25.48</v>
      </c>
    </row>
    <row r="21" spans="1:6" ht="15" customHeight="1" x14ac:dyDescent="0.4">
      <c r="A21" s="854" t="s">
        <v>576</v>
      </c>
      <c r="B21" s="855">
        <v>43516</v>
      </c>
      <c r="C21" s="854" t="s">
        <v>723</v>
      </c>
      <c r="D21" s="854" t="s">
        <v>1119</v>
      </c>
      <c r="E21" s="854" t="s">
        <v>1152</v>
      </c>
      <c r="F21" s="856">
        <v>26.56</v>
      </c>
    </row>
    <row r="22" spans="1:6" ht="15" customHeight="1" x14ac:dyDescent="0.4">
      <c r="A22" s="854" t="s">
        <v>576</v>
      </c>
      <c r="B22" s="855">
        <v>43516</v>
      </c>
      <c r="C22" s="854" t="s">
        <v>723</v>
      </c>
      <c r="D22" s="854" t="s">
        <v>1120</v>
      </c>
      <c r="E22" s="854" t="s">
        <v>1147</v>
      </c>
      <c r="F22" s="856">
        <v>48.83</v>
      </c>
    </row>
    <row r="23" spans="1:6" ht="15" customHeight="1" x14ac:dyDescent="0.4">
      <c r="A23" s="854" t="s">
        <v>576</v>
      </c>
      <c r="B23" s="855">
        <v>43516</v>
      </c>
      <c r="C23" s="854" t="s">
        <v>723</v>
      </c>
      <c r="D23" s="854" t="s">
        <v>1120</v>
      </c>
      <c r="E23" s="854" t="s">
        <v>1152</v>
      </c>
      <c r="F23" s="856">
        <v>53.74</v>
      </c>
    </row>
    <row r="24" spans="1:6" ht="15" customHeight="1" x14ac:dyDescent="0.4">
      <c r="A24" s="854" t="s">
        <v>576</v>
      </c>
      <c r="B24" s="855">
        <v>43516</v>
      </c>
      <c r="C24" s="854" t="s">
        <v>723</v>
      </c>
      <c r="D24" s="854" t="s">
        <v>1121</v>
      </c>
      <c r="E24" s="854" t="s">
        <v>1147</v>
      </c>
      <c r="F24" s="856">
        <v>26.98</v>
      </c>
    </row>
    <row r="25" spans="1:6" ht="15" customHeight="1" x14ac:dyDescent="0.4">
      <c r="A25" s="854" t="s">
        <v>576</v>
      </c>
      <c r="B25" s="855">
        <v>43516</v>
      </c>
      <c r="C25" s="854" t="s">
        <v>723</v>
      </c>
      <c r="D25" s="854" t="s">
        <v>1121</v>
      </c>
      <c r="E25" s="854" t="s">
        <v>1152</v>
      </c>
      <c r="F25" s="856">
        <v>29.61</v>
      </c>
    </row>
    <row r="26" spans="1:6" ht="15" customHeight="1" x14ac:dyDescent="0.4">
      <c r="A26" s="854" t="s">
        <v>576</v>
      </c>
      <c r="B26" s="855">
        <v>43516</v>
      </c>
      <c r="C26" s="854" t="s">
        <v>723</v>
      </c>
      <c r="D26" s="854" t="s">
        <v>1122</v>
      </c>
      <c r="E26" s="854" t="s">
        <v>1147</v>
      </c>
      <c r="F26" s="856">
        <v>49.52</v>
      </c>
    </row>
    <row r="27" spans="1:6" ht="15" customHeight="1" x14ac:dyDescent="0.4">
      <c r="A27" s="854" t="s">
        <v>576</v>
      </c>
      <c r="B27" s="855">
        <v>43516</v>
      </c>
      <c r="C27" s="854" t="s">
        <v>723</v>
      </c>
      <c r="D27" s="854" t="s">
        <v>1122</v>
      </c>
      <c r="E27" s="854" t="s">
        <v>1152</v>
      </c>
      <c r="F27" s="856">
        <v>50.6</v>
      </c>
    </row>
    <row r="28" spans="1:6" ht="15" customHeight="1" x14ac:dyDescent="0.4">
      <c r="A28" s="854" t="s">
        <v>576</v>
      </c>
      <c r="B28" s="855">
        <v>43516</v>
      </c>
      <c r="C28" s="854" t="s">
        <v>723</v>
      </c>
      <c r="D28" s="854" t="s">
        <v>1123</v>
      </c>
      <c r="E28" s="854" t="s">
        <v>1147</v>
      </c>
      <c r="F28" s="856">
        <v>26.82</v>
      </c>
    </row>
    <row r="29" spans="1:6" ht="15" customHeight="1" x14ac:dyDescent="0.4">
      <c r="A29" s="854" t="s">
        <v>576</v>
      </c>
      <c r="B29" s="855">
        <v>43516</v>
      </c>
      <c r="C29" s="854" t="s">
        <v>723</v>
      </c>
      <c r="D29" s="854" t="s">
        <v>1123</v>
      </c>
      <c r="E29" s="854" t="s">
        <v>1152</v>
      </c>
      <c r="F29" s="856">
        <v>28.79</v>
      </c>
    </row>
    <row r="30" spans="1:6" ht="15" customHeight="1" x14ac:dyDescent="0.4">
      <c r="A30" s="854" t="s">
        <v>576</v>
      </c>
      <c r="B30" s="855">
        <v>43516</v>
      </c>
      <c r="C30" s="854" t="s">
        <v>723</v>
      </c>
      <c r="D30" s="854" t="s">
        <v>1124</v>
      </c>
      <c r="E30" s="854" t="s">
        <v>1147</v>
      </c>
      <c r="F30" s="856">
        <v>36.31</v>
      </c>
    </row>
    <row r="31" spans="1:6" ht="15" customHeight="1" x14ac:dyDescent="0.4">
      <c r="A31" s="854" t="s">
        <v>576</v>
      </c>
      <c r="B31" s="855">
        <v>43516</v>
      </c>
      <c r="C31" s="854" t="s">
        <v>723</v>
      </c>
      <c r="D31" s="854" t="s">
        <v>1124</v>
      </c>
      <c r="E31" s="854" t="s">
        <v>1152</v>
      </c>
      <c r="F31" s="856">
        <v>40.9</v>
      </c>
    </row>
    <row r="32" spans="1:6" ht="15" customHeight="1" x14ac:dyDescent="0.4">
      <c r="A32" s="854" t="s">
        <v>576</v>
      </c>
      <c r="B32" s="855">
        <v>43516</v>
      </c>
      <c r="C32" s="854" t="s">
        <v>723</v>
      </c>
      <c r="D32" s="854" t="s">
        <v>1125</v>
      </c>
      <c r="E32" s="854" t="s">
        <v>1147</v>
      </c>
      <c r="F32" s="856">
        <v>55.41</v>
      </c>
    </row>
    <row r="33" spans="1:6" ht="15" customHeight="1" x14ac:dyDescent="0.4">
      <c r="A33" s="854" t="s">
        <v>576</v>
      </c>
      <c r="B33" s="855">
        <v>43516</v>
      </c>
      <c r="C33" s="854" t="s">
        <v>723</v>
      </c>
      <c r="D33" s="854" t="s">
        <v>1125</v>
      </c>
      <c r="E33" s="854" t="s">
        <v>1153</v>
      </c>
      <c r="F33" s="856">
        <v>47.56</v>
      </c>
    </row>
    <row r="34" spans="1:6" ht="15" customHeight="1" x14ac:dyDescent="0.4">
      <c r="A34" s="854" t="s">
        <v>576</v>
      </c>
      <c r="B34" s="855">
        <v>43516</v>
      </c>
      <c r="C34" s="854" t="s">
        <v>723</v>
      </c>
      <c r="D34" s="854" t="s">
        <v>1126</v>
      </c>
      <c r="E34" s="854" t="s">
        <v>1147</v>
      </c>
      <c r="F34" s="856">
        <v>43.55</v>
      </c>
    </row>
    <row r="35" spans="1:6" ht="15" customHeight="1" x14ac:dyDescent="0.4">
      <c r="A35" s="854" t="s">
        <v>576</v>
      </c>
      <c r="B35" s="855">
        <v>43516</v>
      </c>
      <c r="C35" s="854" t="s">
        <v>723</v>
      </c>
      <c r="D35" s="854" t="s">
        <v>1126</v>
      </c>
      <c r="E35" s="854" t="s">
        <v>1152</v>
      </c>
      <c r="F35" s="856">
        <v>48.91</v>
      </c>
    </row>
    <row r="36" spans="1:6" ht="15" customHeight="1" x14ac:dyDescent="0.4">
      <c r="A36" s="854" t="s">
        <v>576</v>
      </c>
      <c r="B36" s="855">
        <v>43516</v>
      </c>
      <c r="C36" s="854" t="s">
        <v>723</v>
      </c>
      <c r="D36" s="854" t="s">
        <v>1127</v>
      </c>
      <c r="E36" s="854" t="s">
        <v>1147</v>
      </c>
      <c r="F36" s="856">
        <v>55.29</v>
      </c>
    </row>
    <row r="37" spans="1:6" ht="15" customHeight="1" thickBot="1" x14ac:dyDescent="0.45">
      <c r="A37" s="854" t="s">
        <v>576</v>
      </c>
      <c r="B37" s="855">
        <v>43516</v>
      </c>
      <c r="C37" s="854" t="s">
        <v>723</v>
      </c>
      <c r="D37" s="854" t="s">
        <v>1127</v>
      </c>
      <c r="E37" s="854" t="s">
        <v>1152</v>
      </c>
      <c r="F37" s="857">
        <v>57.25</v>
      </c>
    </row>
    <row r="38" spans="1:6" ht="15" customHeight="1" thickBot="1" x14ac:dyDescent="0.45">
      <c r="A38" s="854"/>
      <c r="B38" s="855"/>
      <c r="C38" s="854"/>
      <c r="D38" s="854"/>
      <c r="E38" s="854"/>
      <c r="F38" s="858">
        <f>ROUND(SUM(F3:F37),5)</f>
        <v>2756.04</v>
      </c>
    </row>
    <row r="39" spans="1:6" ht="15" customHeight="1" thickBot="1" x14ac:dyDescent="0.45">
      <c r="A39" s="854"/>
      <c r="B39" s="855"/>
      <c r="C39" s="854"/>
      <c r="D39" s="854"/>
      <c r="E39" s="854"/>
      <c r="F39" s="858">
        <f>F38</f>
        <v>2756.04</v>
      </c>
    </row>
    <row r="40" spans="1:6" ht="15" customHeight="1" thickBot="1" x14ac:dyDescent="0.45">
      <c r="A40" s="854"/>
      <c r="B40" s="855"/>
      <c r="C40" s="854"/>
      <c r="D40" s="854"/>
      <c r="E40" s="854"/>
      <c r="F40" s="859">
        <f>F39</f>
        <v>2756.04</v>
      </c>
    </row>
    <row r="41" spans="1:6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11:04 AM
&amp;"Arial,Bold"&amp;8 03/14/19
&amp;"Arial,Bold"&amp;8 Accrual Basis&amp;C&amp;"Arial,Bold"&amp;12 Williamson Central Appraisal District
&amp;"Arial,Bold"&amp;14 Account QuickReport
&amp;"Arial,Bold"&amp;10 January 1 through March 14,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891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38914" r:id="rId4" name="HEADER"/>
      </mc:Fallback>
    </mc:AlternateContent>
    <mc:AlternateContent xmlns:mc="http://schemas.openxmlformats.org/markup-compatibility/2006">
      <mc:Choice Requires="x14">
        <control shapeId="3891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38913" r:id="rId6" name="FILTER"/>
      </mc:Fallback>
    </mc:AlternateContent>
  </control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10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D1" sqref="A1:D1048576"/>
    </sheetView>
  </sheetViews>
  <sheetFormatPr defaultColWidth="14.3828125" defaultRowHeight="15" customHeight="1" x14ac:dyDescent="0.4"/>
  <cols>
    <col min="1" max="1" width="5.3046875" style="861" bestFit="1" customWidth="1"/>
    <col min="2" max="2" width="10.69140625" style="861" bestFit="1" customWidth="1"/>
    <col min="3" max="3" width="5.3046875" style="861" bestFit="1" customWidth="1"/>
    <col min="4" max="4" width="22.3046875" style="861" bestFit="1" customWidth="1"/>
    <col min="5" max="5" width="30.69140625" style="861" customWidth="1"/>
    <col min="6" max="6" width="8.15234375" style="861" bestFit="1" customWidth="1"/>
  </cols>
  <sheetData>
    <row r="1" spans="1:6" s="879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43466</v>
      </c>
      <c r="C4" s="854" t="s">
        <v>737</v>
      </c>
      <c r="D4" s="854" t="s">
        <v>1154</v>
      </c>
      <c r="E4" s="854" t="s">
        <v>1155</v>
      </c>
      <c r="F4" s="856">
        <v>1000</v>
      </c>
    </row>
    <row r="5" spans="1:6" ht="14.6" x14ac:dyDescent="0.4">
      <c r="A5" s="854" t="s">
        <v>576</v>
      </c>
      <c r="B5" s="855">
        <v>43650</v>
      </c>
      <c r="C5" s="854" t="s">
        <v>2058</v>
      </c>
      <c r="D5" s="854" t="s">
        <v>1154</v>
      </c>
      <c r="E5" s="854" t="s">
        <v>2059</v>
      </c>
      <c r="F5" s="856">
        <v>1400</v>
      </c>
    </row>
    <row r="6" spans="1:6" thickBot="1" x14ac:dyDescent="0.45">
      <c r="A6" s="854" t="s">
        <v>576</v>
      </c>
      <c r="B6" s="855">
        <v>43710</v>
      </c>
      <c r="C6" s="854" t="s">
        <v>2778</v>
      </c>
      <c r="D6" s="854" t="s">
        <v>1154</v>
      </c>
      <c r="E6" s="854" t="s">
        <v>2779</v>
      </c>
      <c r="F6" s="857">
        <v>165.46</v>
      </c>
    </row>
    <row r="7" spans="1:6" thickBot="1" x14ac:dyDescent="0.45">
      <c r="A7" s="854"/>
      <c r="B7" s="855"/>
      <c r="C7" s="854"/>
      <c r="D7" s="854"/>
      <c r="E7" s="854"/>
      <c r="F7" s="858">
        <f>ROUND(SUM(F3:F6),5)</f>
        <v>2565.46</v>
      </c>
    </row>
    <row r="8" spans="1:6" thickBot="1" x14ac:dyDescent="0.45">
      <c r="A8" s="854"/>
      <c r="B8" s="855"/>
      <c r="C8" s="854"/>
      <c r="D8" s="854"/>
      <c r="E8" s="854"/>
      <c r="F8" s="858">
        <f>F7</f>
        <v>2565.46</v>
      </c>
    </row>
    <row r="9" spans="1:6" thickBot="1" x14ac:dyDescent="0.45">
      <c r="A9" s="854"/>
      <c r="B9" s="855"/>
      <c r="C9" s="854"/>
      <c r="D9" s="854"/>
      <c r="E9" s="854"/>
      <c r="F9" s="859">
        <f>F8</f>
        <v>2565.46</v>
      </c>
    </row>
    <row r="10" spans="1:6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10:53 AM
&amp;"Arial,Bold"&amp;8 11/04/19
&amp;"Arial,Bold"&amp;8 Accrual Basis&amp;C&amp;"Arial,Bold"&amp;12 Williamson Central Appraisal District
&amp;"Arial,Bold"&amp;14 Account QuickReport
&amp;"Arial,Bold"&amp;10 January 1 through November 4,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994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39942" r:id="rId4" name="HEADER"/>
      </mc:Fallback>
    </mc:AlternateContent>
    <mc:AlternateContent xmlns:mc="http://schemas.openxmlformats.org/markup-compatibility/2006">
      <mc:Choice Requires="x14">
        <control shapeId="3994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39941" r:id="rId6" name="FILTER"/>
      </mc:Fallback>
    </mc:AlternateContent>
  </control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1"/>
  <dimension ref="A1:F18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F16" sqref="F16"/>
    </sheetView>
  </sheetViews>
  <sheetFormatPr defaultRowHeight="14.6" x14ac:dyDescent="0.4"/>
  <cols>
    <col min="1" max="1" width="5.3046875" style="861" bestFit="1" customWidth="1"/>
    <col min="2" max="2" width="10.69140625" style="861" bestFit="1" customWidth="1"/>
    <col min="3" max="3" width="9.15234375" style="861"/>
    <col min="4" max="4" width="22.53515625" style="861" bestFit="1" customWidth="1"/>
    <col min="5" max="5" width="17.3828125" style="861" bestFit="1" customWidth="1"/>
    <col min="6" max="6" width="10.15234375" style="861" bestFit="1" customWidth="1"/>
  </cols>
  <sheetData>
    <row r="1" spans="1:6" s="879" customFormat="1" ht="15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ht="15" thickTop="1" x14ac:dyDescent="0.4">
      <c r="A2" s="854"/>
      <c r="B2" s="855"/>
      <c r="C2" s="854"/>
      <c r="D2" s="854"/>
      <c r="E2" s="854"/>
      <c r="F2" s="856"/>
    </row>
    <row r="3" spans="1:6" x14ac:dyDescent="0.4">
      <c r="A3" s="854"/>
      <c r="B3" s="855"/>
      <c r="C3" s="854"/>
      <c r="D3" s="854"/>
      <c r="E3" s="854"/>
      <c r="F3" s="856"/>
    </row>
    <row r="4" spans="1:6" x14ac:dyDescent="0.4">
      <c r="A4" s="854" t="s">
        <v>576</v>
      </c>
      <c r="B4" s="855">
        <v>43467</v>
      </c>
      <c r="C4" s="854" t="s">
        <v>1432</v>
      </c>
      <c r="D4" s="854" t="s">
        <v>1436</v>
      </c>
      <c r="E4" s="854" t="s">
        <v>1438</v>
      </c>
      <c r="F4" s="856">
        <v>31341.72</v>
      </c>
    </row>
    <row r="5" spans="1:6" x14ac:dyDescent="0.4">
      <c r="A5" s="854" t="s">
        <v>576</v>
      </c>
      <c r="B5" s="855">
        <v>43485</v>
      </c>
      <c r="C5" s="854" t="s">
        <v>1433</v>
      </c>
      <c r="D5" s="854" t="s">
        <v>1436</v>
      </c>
      <c r="E5" s="854" t="s">
        <v>1438</v>
      </c>
      <c r="F5" s="856">
        <v>31431.83</v>
      </c>
    </row>
    <row r="6" spans="1:6" x14ac:dyDescent="0.4">
      <c r="A6" s="854" t="s">
        <v>576</v>
      </c>
      <c r="B6" s="855">
        <v>43516</v>
      </c>
      <c r="C6" s="854" t="s">
        <v>1434</v>
      </c>
      <c r="D6" s="854" t="s">
        <v>1436</v>
      </c>
      <c r="E6" s="854" t="s">
        <v>1438</v>
      </c>
      <c r="F6" s="856">
        <v>31522.2</v>
      </c>
    </row>
    <row r="7" spans="1:6" x14ac:dyDescent="0.4">
      <c r="A7" s="854" t="s">
        <v>576</v>
      </c>
      <c r="B7" s="855">
        <v>43544</v>
      </c>
      <c r="C7" s="854" t="s">
        <v>1435</v>
      </c>
      <c r="D7" s="854" t="s">
        <v>1436</v>
      </c>
      <c r="E7" s="854" t="s">
        <v>1438</v>
      </c>
      <c r="F7" s="856">
        <v>31612.82</v>
      </c>
    </row>
    <row r="8" spans="1:6" x14ac:dyDescent="0.4">
      <c r="A8" s="854" t="s">
        <v>576</v>
      </c>
      <c r="B8" s="855">
        <v>43575</v>
      </c>
      <c r="C8" s="854" t="s">
        <v>1552</v>
      </c>
      <c r="D8" s="854" t="s">
        <v>1436</v>
      </c>
      <c r="E8" s="854" t="s">
        <v>1438</v>
      </c>
      <c r="F8" s="856">
        <v>31703.71</v>
      </c>
    </row>
    <row r="9" spans="1:6" x14ac:dyDescent="0.4">
      <c r="A9" s="854" t="s">
        <v>576</v>
      </c>
      <c r="B9" s="855">
        <v>43604</v>
      </c>
      <c r="C9" s="854" t="s">
        <v>1882</v>
      </c>
      <c r="D9" s="854" t="s">
        <v>1436</v>
      </c>
      <c r="E9" s="854" t="s">
        <v>1438</v>
      </c>
      <c r="F9" s="856">
        <v>31794.86</v>
      </c>
    </row>
    <row r="10" spans="1:6" x14ac:dyDescent="0.4">
      <c r="A10" s="854" t="s">
        <v>576</v>
      </c>
      <c r="B10" s="855">
        <v>43636</v>
      </c>
      <c r="C10" s="854" t="s">
        <v>1883</v>
      </c>
      <c r="D10" s="854" t="s">
        <v>1436</v>
      </c>
      <c r="E10" s="854" t="s">
        <v>1438</v>
      </c>
      <c r="F10" s="856">
        <v>31886.27</v>
      </c>
    </row>
    <row r="11" spans="1:6" x14ac:dyDescent="0.4">
      <c r="A11" s="854" t="s">
        <v>576</v>
      </c>
      <c r="B11" s="855">
        <v>43666</v>
      </c>
      <c r="C11" s="854" t="s">
        <v>2768</v>
      </c>
      <c r="D11" s="854" t="s">
        <v>1436</v>
      </c>
      <c r="E11" s="854" t="s">
        <v>1438</v>
      </c>
      <c r="F11" s="856">
        <v>31977.94</v>
      </c>
    </row>
    <row r="12" spans="1:6" x14ac:dyDescent="0.4">
      <c r="A12" s="854" t="s">
        <v>576</v>
      </c>
      <c r="B12" s="855">
        <v>43697</v>
      </c>
      <c r="C12" s="854" t="s">
        <v>2769</v>
      </c>
      <c r="D12" s="854" t="s">
        <v>1436</v>
      </c>
      <c r="E12" s="854" t="s">
        <v>1438</v>
      </c>
      <c r="F12" s="856">
        <v>32069.88</v>
      </c>
    </row>
    <row r="13" spans="1:6" x14ac:dyDescent="0.4">
      <c r="A13" s="854" t="s">
        <v>576</v>
      </c>
      <c r="B13" s="855">
        <v>43739</v>
      </c>
      <c r="C13" s="854" t="s">
        <v>2770</v>
      </c>
      <c r="D13" s="854" t="s">
        <v>1436</v>
      </c>
      <c r="E13" s="854" t="s">
        <v>1438</v>
      </c>
      <c r="F13" s="857">
        <v>32162.080000000002</v>
      </c>
    </row>
    <row r="14" spans="1:6" s="888" customFormat="1" ht="15" thickBot="1" x14ac:dyDescent="0.45">
      <c r="A14" s="854" t="s">
        <v>576</v>
      </c>
      <c r="B14" s="855">
        <v>43758</v>
      </c>
      <c r="C14" s="854" t="s">
        <v>3007</v>
      </c>
      <c r="D14" s="854" t="s">
        <v>1436</v>
      </c>
      <c r="E14" s="854" t="s">
        <v>1438</v>
      </c>
      <c r="F14" s="857">
        <v>32254.54</v>
      </c>
    </row>
    <row r="15" spans="1:6" ht="15" thickBot="1" x14ac:dyDescent="0.45">
      <c r="A15" s="854"/>
      <c r="B15" s="855"/>
      <c r="C15" s="854"/>
      <c r="D15" s="854"/>
      <c r="E15" s="854"/>
      <c r="F15" s="858">
        <f>ROUND(SUM(F3:F14),5)</f>
        <v>349757.85</v>
      </c>
    </row>
    <row r="16" spans="1:6" ht="15" thickBot="1" x14ac:dyDescent="0.45">
      <c r="A16" s="854"/>
      <c r="B16" s="855"/>
      <c r="C16" s="854"/>
      <c r="D16" s="854"/>
      <c r="E16" s="854"/>
      <c r="F16" s="858">
        <f>F15</f>
        <v>349757.85</v>
      </c>
    </row>
    <row r="17" spans="1:6" ht="15" thickBot="1" x14ac:dyDescent="0.45">
      <c r="A17" s="854"/>
      <c r="B17" s="855"/>
      <c r="C17" s="854"/>
      <c r="D17" s="854"/>
      <c r="E17" s="854"/>
      <c r="F17" s="859">
        <f>F16</f>
        <v>349757.85</v>
      </c>
    </row>
    <row r="18" spans="1:6" ht="15" thickTop="1" x14ac:dyDescent="0.4"/>
  </sheetData>
  <pageMargins left="0.7" right="0.7" top="0.75" bottom="0.75" header="0.1" footer="0.3"/>
  <pageSetup orientation="portrait" r:id="rId1"/>
  <headerFooter>
    <oddHeader>&amp;L&amp;"Arial,Bold"&amp;8 10:44 AM
&amp;"Arial,Bold"&amp;8 11/04/19
&amp;"Arial,Bold"&amp;8 Accrual Basis&amp;C&amp;"Arial,Bold"&amp;12 Williamson Central Appraisal District
&amp;"Arial,Bold"&amp;14 Account QuickReport
&amp;"Arial,Bold"&amp;10 January 1 through November 4,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40972" r:id="rId4" name="HEADER"/>
      </mc:Fallback>
    </mc:AlternateContent>
    <mc:AlternateContent xmlns:mc="http://schemas.openxmlformats.org/markup-compatibility/2006">
      <mc:Choice Requires="x14">
        <control shapeId="4097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40971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AA1030"/>
  <sheetViews>
    <sheetView zoomScaleNormal="100" workbookViewId="0">
      <pane ySplit="1" topLeftCell="A2" activePane="bottomLeft" state="frozen"/>
      <selection activeCell="A12" sqref="A12"/>
      <selection pane="bottomLeft" activeCell="A3" sqref="A3"/>
    </sheetView>
  </sheetViews>
  <sheetFormatPr defaultColWidth="14.3828125" defaultRowHeight="15" customHeight="1" x14ac:dyDescent="0.4"/>
  <cols>
    <col min="1" max="1" width="25.15234375" customWidth="1"/>
    <col min="2" max="2" width="10.69140625" style="828" bestFit="1" customWidth="1"/>
    <col min="3" max="3" width="54.69140625" customWidth="1"/>
    <col min="4" max="4" width="11" customWidth="1"/>
    <col min="5" max="5" width="12.3046875" customWidth="1"/>
    <col min="6" max="6" width="9.3828125" customWidth="1"/>
    <col min="7" max="7" width="12.3828125" customWidth="1"/>
    <col min="8" max="8" width="16.53515625" style="480" customWidth="1"/>
    <col min="9" max="9" width="15.15234375" style="229" bestFit="1" customWidth="1"/>
    <col min="10" max="10" width="14.3046875" style="229" bestFit="1" customWidth="1"/>
    <col min="11" max="11" width="16.15234375" customWidth="1"/>
    <col min="12" max="12" width="10.765625" customWidth="1"/>
    <col min="13" max="13" width="7.84375" customWidth="1"/>
    <col min="14" max="14" width="13.3046875" customWidth="1"/>
    <col min="15" max="15" width="17.53515625" customWidth="1"/>
    <col min="16" max="25" width="13.3046875" customWidth="1"/>
    <col min="26" max="27" width="15.15234375" customWidth="1"/>
  </cols>
  <sheetData>
    <row r="1" spans="1:27" ht="30" customHeight="1" x14ac:dyDescent="0.4">
      <c r="A1" s="80"/>
      <c r="B1" s="80" t="s">
        <v>573</v>
      </c>
      <c r="C1" s="13" t="s">
        <v>13</v>
      </c>
      <c r="D1" s="81" t="s">
        <v>62</v>
      </c>
      <c r="E1" s="81" t="s">
        <v>63</v>
      </c>
      <c r="F1" s="81" t="s">
        <v>64</v>
      </c>
      <c r="G1" s="13" t="s">
        <v>65</v>
      </c>
      <c r="H1" s="485" t="s">
        <v>570</v>
      </c>
      <c r="I1" s="485" t="s">
        <v>14</v>
      </c>
      <c r="J1" s="485" t="s">
        <v>15</v>
      </c>
      <c r="K1" s="13" t="s">
        <v>66</v>
      </c>
      <c r="L1" s="3"/>
      <c r="M1" s="3"/>
      <c r="N1" s="3"/>
      <c r="O1" s="82"/>
    </row>
    <row r="2" spans="1:27" ht="19.5" customHeight="1" x14ac:dyDescent="0.5">
      <c r="A2" s="897" t="s">
        <v>67</v>
      </c>
      <c r="B2" s="900"/>
      <c r="C2" s="898"/>
      <c r="D2" s="898"/>
      <c r="E2" s="898"/>
      <c r="F2" s="898"/>
      <c r="G2" s="898"/>
      <c r="H2" s="898"/>
      <c r="I2" s="898"/>
      <c r="J2" s="898"/>
      <c r="K2" s="899"/>
      <c r="L2" s="3"/>
      <c r="M2" s="3"/>
      <c r="N2" s="3"/>
      <c r="O2" s="82"/>
    </row>
    <row r="3" spans="1:27" ht="14.6" x14ac:dyDescent="0.4">
      <c r="A3" s="83"/>
      <c r="B3" s="215" t="str">
        <f>LEFT($A$2,4)&amp;"-1"</f>
        <v>6110-1</v>
      </c>
      <c r="C3" s="84" t="s">
        <v>68</v>
      </c>
      <c r="D3" s="85"/>
      <c r="E3" s="86"/>
      <c r="F3" s="87">
        <v>1</v>
      </c>
      <c r="G3" s="88">
        <v>100</v>
      </c>
      <c r="H3" s="376">
        <f t="shared" ref="H3:H17" si="0">(D3+E3+F3)*G3</f>
        <v>100</v>
      </c>
      <c r="I3" s="90">
        <f ca="1">(-SUMIF(INDIRECT(LEFT($A$2,4)&amp;"!E3:E200"),"="&amp;B3&amp;" *",INDIRECT(LEFT($A$2,4)&amp;"!F3:F200")))</f>
        <v>0</v>
      </c>
      <c r="J3" s="90">
        <f ca="1">SUM(H3:I3)</f>
        <v>100</v>
      </c>
      <c r="K3" s="90">
        <v>100</v>
      </c>
      <c r="L3" s="3"/>
      <c r="M3" s="3"/>
      <c r="N3" s="137"/>
      <c r="O3" s="82"/>
    </row>
    <row r="4" spans="1:27" ht="14.6" x14ac:dyDescent="0.4">
      <c r="A4" s="139" t="s">
        <v>90</v>
      </c>
      <c r="B4" s="412" t="str">
        <f>LEFT($B3,4)&amp;"-"&amp;VALUE(MID($B3,FIND("-",$B3)+1,256))+1</f>
        <v>6110-2</v>
      </c>
      <c r="C4" s="142" t="s">
        <v>91</v>
      </c>
      <c r="D4" s="144">
        <v>0</v>
      </c>
      <c r="E4" s="146"/>
      <c r="F4" s="148">
        <v>0</v>
      </c>
      <c r="G4" s="122">
        <v>400</v>
      </c>
      <c r="H4" s="382">
        <f t="shared" si="0"/>
        <v>0</v>
      </c>
      <c r="I4" s="113">
        <f t="shared" ref="I4:I17" ca="1" si="1">(-SUMIF(INDIRECT(LEFT($A$2,4)&amp;"!E3:E200"),"="&amp;B4&amp;" *",INDIRECT(LEFT($A$2,4)&amp;"!F3:F200")))</f>
        <v>0</v>
      </c>
      <c r="J4" s="113">
        <f t="shared" ref="J4:J17" ca="1" si="2">SUM(H4:I4)</f>
        <v>0</v>
      </c>
      <c r="K4" s="113">
        <v>800</v>
      </c>
      <c r="L4" s="17"/>
      <c r="M4" s="17"/>
      <c r="N4" s="137"/>
      <c r="O4" s="82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6" x14ac:dyDescent="0.4">
      <c r="A5" s="83" t="s">
        <v>94</v>
      </c>
      <c r="B5" s="830" t="str">
        <f t="shared" ref="B5:B17" si="3">LEFT($B4,4)&amp;"-"&amp;VALUE(MID($B4,FIND("-",$B4)+1,256))+1</f>
        <v>6110-3</v>
      </c>
      <c r="C5" s="151" t="s">
        <v>95</v>
      </c>
      <c r="D5" s="152">
        <v>4</v>
      </c>
      <c r="E5" s="154"/>
      <c r="F5" s="152"/>
      <c r="G5" s="157">
        <v>60</v>
      </c>
      <c r="H5" s="376">
        <f t="shared" si="0"/>
        <v>240</v>
      </c>
      <c r="I5" s="90">
        <f t="shared" ca="1" si="1"/>
        <v>-167.96</v>
      </c>
      <c r="J5" s="90">
        <f t="shared" ca="1" si="2"/>
        <v>72.039999999999992</v>
      </c>
      <c r="K5" s="90">
        <v>0</v>
      </c>
      <c r="L5" s="3"/>
      <c r="M5" s="17"/>
      <c r="N5" s="137"/>
      <c r="O5" s="8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4.6" x14ac:dyDescent="0.4">
      <c r="A6" s="139"/>
      <c r="B6" s="829" t="str">
        <f t="shared" si="3"/>
        <v>6110-4</v>
      </c>
      <c r="C6" s="142" t="s">
        <v>99</v>
      </c>
      <c r="D6" s="148"/>
      <c r="E6" s="146"/>
      <c r="F6" s="144">
        <v>1</v>
      </c>
      <c r="G6" s="159">
        <v>120</v>
      </c>
      <c r="H6" s="382">
        <f t="shared" si="0"/>
        <v>120</v>
      </c>
      <c r="I6" s="113">
        <f t="shared" ca="1" si="1"/>
        <v>0</v>
      </c>
      <c r="J6" s="113">
        <f t="shared" ca="1" si="2"/>
        <v>120</v>
      </c>
      <c r="K6" s="113">
        <v>100</v>
      </c>
      <c r="L6" s="17"/>
      <c r="M6" s="17"/>
      <c r="N6" s="137"/>
      <c r="O6" s="82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ht="14.6" x14ac:dyDescent="0.4">
      <c r="A7" s="83"/>
      <c r="B7" s="383" t="str">
        <f t="shared" si="3"/>
        <v>6110-5</v>
      </c>
      <c r="C7" s="160" t="s">
        <v>101</v>
      </c>
      <c r="D7" s="161">
        <v>30</v>
      </c>
      <c r="E7" s="86"/>
      <c r="F7" s="86"/>
      <c r="G7" s="88">
        <v>30</v>
      </c>
      <c r="H7" s="376">
        <f t="shared" si="0"/>
        <v>900</v>
      </c>
      <c r="I7" s="90">
        <f t="shared" ca="1" si="1"/>
        <v>-805.59</v>
      </c>
      <c r="J7" s="90">
        <f t="shared" ca="1" si="2"/>
        <v>94.409999999999968</v>
      </c>
      <c r="K7" s="90">
        <v>900</v>
      </c>
      <c r="L7" s="3"/>
      <c r="M7" s="3"/>
      <c r="N7" s="137"/>
      <c r="O7" s="8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6" x14ac:dyDescent="0.4">
      <c r="A8" s="139"/>
      <c r="B8" s="412" t="str">
        <f t="shared" si="3"/>
        <v>6110-6</v>
      </c>
      <c r="C8" s="164" t="s">
        <v>103</v>
      </c>
      <c r="D8" s="148"/>
      <c r="E8" s="146"/>
      <c r="F8" s="144">
        <v>71</v>
      </c>
      <c r="G8" s="159">
        <v>34</v>
      </c>
      <c r="H8" s="382">
        <f t="shared" si="0"/>
        <v>2414</v>
      </c>
      <c r="I8" s="113">
        <f t="shared" ca="1" si="1"/>
        <v>-1125.76</v>
      </c>
      <c r="J8" s="113">
        <f t="shared" ca="1" si="2"/>
        <v>1288.24</v>
      </c>
      <c r="K8" s="113">
        <v>2400</v>
      </c>
      <c r="L8" s="17"/>
      <c r="M8" s="17"/>
      <c r="N8" s="137"/>
      <c r="O8" s="82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4.6" x14ac:dyDescent="0.4">
      <c r="A9" s="83"/>
      <c r="B9" s="830" t="str">
        <f t="shared" si="3"/>
        <v>6110-7</v>
      </c>
      <c r="C9" s="166" t="s">
        <v>104</v>
      </c>
      <c r="D9" s="168"/>
      <c r="E9" s="169"/>
      <c r="F9" s="173"/>
      <c r="G9" s="174">
        <v>6</v>
      </c>
      <c r="H9" s="429">
        <f t="shared" si="0"/>
        <v>0</v>
      </c>
      <c r="I9" s="90">
        <f t="shared" ca="1" si="1"/>
        <v>0</v>
      </c>
      <c r="J9" s="90">
        <f t="shared" ca="1" si="2"/>
        <v>0</v>
      </c>
      <c r="K9" s="176">
        <v>60</v>
      </c>
      <c r="L9" s="177"/>
      <c r="M9" s="178"/>
      <c r="N9" s="179"/>
      <c r="O9" s="82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7" ht="14.6" x14ac:dyDescent="0.4">
      <c r="A10" s="139"/>
      <c r="B10" s="412" t="str">
        <f t="shared" si="3"/>
        <v>6110-8</v>
      </c>
      <c r="C10" s="180" t="s">
        <v>111</v>
      </c>
      <c r="D10" s="182"/>
      <c r="E10" s="183"/>
      <c r="F10" s="184"/>
      <c r="G10" s="186">
        <v>11</v>
      </c>
      <c r="H10" s="465">
        <f t="shared" si="0"/>
        <v>0</v>
      </c>
      <c r="I10" s="113">
        <f t="shared" ca="1" si="1"/>
        <v>0</v>
      </c>
      <c r="J10" s="113">
        <f t="shared" ca="1" si="2"/>
        <v>0</v>
      </c>
      <c r="K10" s="187">
        <v>55</v>
      </c>
      <c r="L10" s="178"/>
      <c r="M10" s="178"/>
      <c r="N10" s="179"/>
      <c r="O10" s="82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7" ht="14.6" x14ac:dyDescent="0.4">
      <c r="A11" s="83" t="s">
        <v>509</v>
      </c>
      <c r="B11" s="830" t="str">
        <f t="shared" si="3"/>
        <v>6110-9</v>
      </c>
      <c r="C11" s="160" t="s">
        <v>117</v>
      </c>
      <c r="D11" s="87"/>
      <c r="E11" s="86"/>
      <c r="F11" s="190">
        <v>6</v>
      </c>
      <c r="G11" s="102">
        <v>70</v>
      </c>
      <c r="H11" s="376">
        <f t="shared" si="0"/>
        <v>420</v>
      </c>
      <c r="I11" s="90">
        <f t="shared" ca="1" si="1"/>
        <v>-360</v>
      </c>
      <c r="J11" s="90">
        <f t="shared" ca="1" si="2"/>
        <v>60</v>
      </c>
      <c r="K11" s="90">
        <v>120</v>
      </c>
      <c r="L11" s="3"/>
      <c r="M11" s="17"/>
      <c r="N11" s="137"/>
      <c r="O11" s="82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7" ht="14.6" x14ac:dyDescent="0.4">
      <c r="A12" s="193" t="s">
        <v>120</v>
      </c>
      <c r="B12" s="412" t="str">
        <f t="shared" si="3"/>
        <v>6110-10</v>
      </c>
      <c r="C12" s="196" t="s">
        <v>122</v>
      </c>
      <c r="D12" s="198"/>
      <c r="E12" s="199"/>
      <c r="F12" s="199"/>
      <c r="G12" s="116">
        <v>25</v>
      </c>
      <c r="H12" s="382">
        <f t="shared" si="0"/>
        <v>0</v>
      </c>
      <c r="I12" s="113">
        <f t="shared" ca="1" si="1"/>
        <v>0</v>
      </c>
      <c r="J12" s="113">
        <f t="shared" ca="1" si="2"/>
        <v>0</v>
      </c>
      <c r="K12" s="113">
        <v>100</v>
      </c>
      <c r="L12" s="3"/>
      <c r="M12" s="3"/>
      <c r="N12" s="137"/>
      <c r="O12" s="82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7" ht="14.6" x14ac:dyDescent="0.4">
      <c r="A13" s="83"/>
      <c r="B13" s="830" t="str">
        <f t="shared" si="3"/>
        <v>6110-11</v>
      </c>
      <c r="C13" s="151" t="s">
        <v>125</v>
      </c>
      <c r="D13" s="152">
        <v>15</v>
      </c>
      <c r="E13" s="202"/>
      <c r="F13" s="204"/>
      <c r="G13" s="107">
        <v>45</v>
      </c>
      <c r="H13" s="376">
        <f t="shared" si="0"/>
        <v>675</v>
      </c>
      <c r="I13" s="90">
        <f t="shared" ca="1" si="1"/>
        <v>-502.8</v>
      </c>
      <c r="J13" s="90">
        <f t="shared" ca="1" si="2"/>
        <v>172.2</v>
      </c>
      <c r="K13" s="90">
        <v>675</v>
      </c>
      <c r="L13" s="17"/>
      <c r="M13" s="3"/>
      <c r="N13" s="137"/>
      <c r="O13" s="82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7" ht="14.6" x14ac:dyDescent="0.4">
      <c r="A14" s="139"/>
      <c r="B14" s="412" t="str">
        <f t="shared" si="3"/>
        <v>6110-12</v>
      </c>
      <c r="C14" s="142" t="s">
        <v>126</v>
      </c>
      <c r="D14" s="148"/>
      <c r="E14" s="146"/>
      <c r="F14" s="144">
        <v>1</v>
      </c>
      <c r="G14" s="122">
        <v>8000</v>
      </c>
      <c r="H14" s="382">
        <f t="shared" si="0"/>
        <v>8000</v>
      </c>
      <c r="I14" s="113">
        <f t="shared" ca="1" si="1"/>
        <v>-7548.6900000000014</v>
      </c>
      <c r="J14" s="113">
        <f t="shared" ca="1" si="2"/>
        <v>451.30999999999858</v>
      </c>
      <c r="K14" s="113">
        <v>8000</v>
      </c>
      <c r="L14" s="3"/>
      <c r="M14" s="17"/>
      <c r="N14" s="137"/>
      <c r="O14" s="82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7" ht="14.6" x14ac:dyDescent="0.4">
      <c r="A15" s="207"/>
      <c r="B15" s="835" t="str">
        <f t="shared" si="3"/>
        <v>6110-13</v>
      </c>
      <c r="C15" s="151" t="s">
        <v>127</v>
      </c>
      <c r="D15" s="209"/>
      <c r="E15" s="210">
        <v>5</v>
      </c>
      <c r="F15" s="209"/>
      <c r="G15" s="107">
        <v>155</v>
      </c>
      <c r="H15" s="376">
        <f t="shared" si="0"/>
        <v>775</v>
      </c>
      <c r="I15" s="90">
        <f t="shared" ca="1" si="1"/>
        <v>-175</v>
      </c>
      <c r="J15" s="90">
        <f t="shared" ca="1" si="2"/>
        <v>600</v>
      </c>
      <c r="K15" s="90">
        <v>775</v>
      </c>
      <c r="L15" s="211"/>
      <c r="M15" s="17"/>
      <c r="N15" s="137"/>
      <c r="O15" s="82"/>
    </row>
    <row r="16" spans="1:27" ht="14.6" x14ac:dyDescent="0.4">
      <c r="A16" s="139"/>
      <c r="B16" s="412" t="str">
        <f t="shared" si="3"/>
        <v>6110-14</v>
      </c>
      <c r="C16" s="212" t="s">
        <v>128</v>
      </c>
      <c r="D16" s="213"/>
      <c r="E16" s="214">
        <v>14</v>
      </c>
      <c r="F16" s="213"/>
      <c r="G16" s="116">
        <v>30</v>
      </c>
      <c r="H16" s="382">
        <f t="shared" si="0"/>
        <v>420</v>
      </c>
      <c r="I16" s="113">
        <f t="shared" ca="1" si="1"/>
        <v>0</v>
      </c>
      <c r="J16" s="113">
        <f t="shared" ca="1" si="2"/>
        <v>420</v>
      </c>
      <c r="K16" s="113">
        <v>420</v>
      </c>
      <c r="L16" s="3"/>
      <c r="M16" s="17"/>
      <c r="N16" s="137"/>
      <c r="O16" s="82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6" x14ac:dyDescent="0.4">
      <c r="A17" s="215" t="s">
        <v>129</v>
      </c>
      <c r="B17" s="830" t="str">
        <f t="shared" si="3"/>
        <v>6110-15</v>
      </c>
      <c r="C17" s="151" t="s">
        <v>130</v>
      </c>
      <c r="D17" s="209"/>
      <c r="E17" s="154"/>
      <c r="F17" s="152">
        <v>0</v>
      </c>
      <c r="G17" s="107">
        <v>5</v>
      </c>
      <c r="H17" s="376">
        <f t="shared" si="0"/>
        <v>0</v>
      </c>
      <c r="I17" s="90">
        <f t="shared" ca="1" si="1"/>
        <v>0</v>
      </c>
      <c r="J17" s="90">
        <f t="shared" ca="1" si="2"/>
        <v>0</v>
      </c>
      <c r="K17" s="90">
        <v>500</v>
      </c>
      <c r="L17" s="17"/>
      <c r="M17" s="17"/>
      <c r="N17" s="137"/>
      <c r="O17" s="82"/>
    </row>
    <row r="18" spans="1:25" thickBot="1" x14ac:dyDescent="0.45">
      <c r="A18" s="216"/>
      <c r="B18" s="216"/>
      <c r="C18" s="217" t="s">
        <v>71</v>
      </c>
      <c r="D18" s="218"/>
      <c r="E18" s="218"/>
      <c r="F18" s="49" t="s">
        <v>49</v>
      </c>
      <c r="G18" s="424">
        <f>SUM('3% Overview'!K8)</f>
        <v>-6.6225165562913912E-2</v>
      </c>
      <c r="H18" s="423">
        <f>SUM(H3:H17)</f>
        <v>14064</v>
      </c>
      <c r="I18" s="141">
        <f ca="1">SUM(I3:I17)</f>
        <v>-10685.800000000001</v>
      </c>
      <c r="J18" s="141">
        <f ca="1">SUM(J3:J17)</f>
        <v>3378.1999999999989</v>
      </c>
      <c r="K18" s="141">
        <f>SUM(K3:K17)</f>
        <v>15005</v>
      </c>
      <c r="L18" s="3"/>
      <c r="M18" s="3"/>
      <c r="N18" s="137"/>
      <c r="O18" s="82"/>
    </row>
    <row r="19" spans="1:25" ht="9.75" customHeight="1" thickTop="1" x14ac:dyDescent="0.4">
      <c r="A19" s="131"/>
      <c r="B19" s="131"/>
      <c r="C19" s="221"/>
      <c r="D19" s="222"/>
      <c r="E19" s="222"/>
      <c r="F19" s="222"/>
      <c r="G19" s="143"/>
      <c r="H19" s="475"/>
      <c r="I19" s="223"/>
      <c r="J19" s="223"/>
      <c r="K19" s="223"/>
      <c r="L19" s="3"/>
      <c r="M19" s="3"/>
      <c r="N19" s="3"/>
      <c r="O19" s="82"/>
    </row>
    <row r="20" spans="1:25" ht="19.5" customHeight="1" x14ac:dyDescent="0.5">
      <c r="A20" s="897" t="s">
        <v>131</v>
      </c>
      <c r="B20" s="900"/>
      <c r="C20" s="898"/>
      <c r="D20" s="898"/>
      <c r="E20" s="898"/>
      <c r="F20" s="898"/>
      <c r="G20" s="898"/>
      <c r="H20" s="898"/>
      <c r="I20" s="898"/>
      <c r="J20" s="898"/>
      <c r="K20" s="899"/>
      <c r="L20" s="3"/>
      <c r="M20" s="3"/>
      <c r="N20" s="3"/>
      <c r="O20" s="82"/>
    </row>
    <row r="21" spans="1:25" ht="14.6" x14ac:dyDescent="0.4">
      <c r="A21" s="225"/>
      <c r="B21" s="215" t="str">
        <f>LEFT($A$20,4)&amp;"-1"</f>
        <v>6120-1</v>
      </c>
      <c r="C21" s="227" t="s">
        <v>133</v>
      </c>
      <c r="D21" s="228"/>
      <c r="E21" s="210">
        <v>1</v>
      </c>
      <c r="F21" s="228"/>
      <c r="G21" s="229">
        <v>83000</v>
      </c>
      <c r="H21" s="376">
        <f t="shared" ref="H21:H38" si="4">(D21+E21+F21)*G21</f>
        <v>83000</v>
      </c>
      <c r="I21" s="90">
        <f ca="1">-(SUMIF(INDIRECT(LEFT($A$20,4)&amp;"!E3:E200"),"="&amp;B21&amp;" *",INDIRECT(LEFT($A$20,4)&amp;"!F3:F200")))</f>
        <v>-74095.519999999975</v>
      </c>
      <c r="J21" s="90">
        <f ca="1">SUM(H21:I21)</f>
        <v>8904.480000000025</v>
      </c>
      <c r="K21" s="90">
        <v>79000</v>
      </c>
      <c r="L21" s="230"/>
      <c r="M21" s="17"/>
      <c r="N21" s="89"/>
      <c r="O21" s="82"/>
      <c r="P21" s="165"/>
    </row>
    <row r="22" spans="1:25" ht="14.6" x14ac:dyDescent="0.4">
      <c r="A22" s="561"/>
      <c r="B22" s="412" t="str">
        <f>LEFT($B21,4)&amp;"-"&amp;VALUE(MID($B21,FIND("-",$B21)+1,256))+1</f>
        <v>6120-2</v>
      </c>
      <c r="C22" s="575" t="s">
        <v>134</v>
      </c>
      <c r="D22" s="576">
        <v>50</v>
      </c>
      <c r="E22" s="576"/>
      <c r="F22" s="577"/>
      <c r="G22" s="454">
        <v>40</v>
      </c>
      <c r="H22" s="379">
        <f t="shared" si="4"/>
        <v>2000</v>
      </c>
      <c r="I22" s="578">
        <f t="shared" ref="I22:I23" ca="1" si="5">-(SUMIF(INDIRECT(LEFT($A$20,4)&amp;"!E3:E200"),"="&amp;B22&amp;" *",INDIRECT(LEFT($A$20,4)&amp;"!F3:F200")))</f>
        <v>0</v>
      </c>
      <c r="J22" s="578">
        <f t="shared" ref="J22:J23" ca="1" si="6">SUM(H22:I22)</f>
        <v>2000</v>
      </c>
      <c r="K22" s="578">
        <v>3000</v>
      </c>
      <c r="L22" s="3"/>
      <c r="M22" s="3"/>
      <c r="N22" s="137"/>
      <c r="O22" s="82"/>
    </row>
    <row r="23" spans="1:25" ht="14.6" x14ac:dyDescent="0.4">
      <c r="A23" s="83"/>
      <c r="B23" s="215" t="str">
        <f t="shared" ref="B23:B34" si="7">LEFT($B22,4)&amp;"-"&amp;VALUE(MID($B22,FIND("-",$B22)+1,256))+1</f>
        <v>6120-3</v>
      </c>
      <c r="C23" s="227" t="s">
        <v>137</v>
      </c>
      <c r="D23" s="235">
        <v>6500</v>
      </c>
      <c r="E23" s="154"/>
      <c r="F23" s="228"/>
      <c r="G23" s="107">
        <v>0.75</v>
      </c>
      <c r="H23" s="378">
        <f t="shared" si="4"/>
        <v>4875</v>
      </c>
      <c r="I23" s="90">
        <f t="shared" ca="1" si="5"/>
        <v>-1000</v>
      </c>
      <c r="J23" s="90">
        <f t="shared" ca="1" si="6"/>
        <v>3875</v>
      </c>
      <c r="K23" s="90">
        <v>3862.5</v>
      </c>
      <c r="L23" s="3"/>
      <c r="M23" s="3"/>
      <c r="N23" s="137"/>
      <c r="O23" s="82"/>
    </row>
    <row r="24" spans="1:25" ht="14.6" x14ac:dyDescent="0.4">
      <c r="A24" s="139"/>
      <c r="B24" s="683" t="str">
        <f t="shared" si="7"/>
        <v>6120-4</v>
      </c>
      <c r="C24" s="236" t="s">
        <v>105</v>
      </c>
      <c r="D24" s="237">
        <v>775</v>
      </c>
      <c r="E24" s="238">
        <v>550</v>
      </c>
      <c r="F24" s="239">
        <v>50</v>
      </c>
      <c r="G24" s="116">
        <v>3.81</v>
      </c>
      <c r="H24" s="379">
        <f>(D24+E24+F24)*G24</f>
        <v>5238.75</v>
      </c>
      <c r="I24" s="578">
        <f t="shared" ref="I24:I38" ca="1" si="8">-(SUMIF(INDIRECT(LEFT($A$20,4)&amp;"!E3:E200"),"="&amp;B24&amp;" *",INDIRECT(LEFT($A$20,4)&amp;"!F3:F200")))</f>
        <v>0</v>
      </c>
      <c r="J24" s="578">
        <f t="shared" ref="J24:J38" ca="1" si="9">SUM(H24:I24)</f>
        <v>5238.75</v>
      </c>
      <c r="K24" s="113">
        <v>4381.5</v>
      </c>
      <c r="L24" s="3"/>
      <c r="M24" s="3"/>
      <c r="N24" s="137"/>
      <c r="O24" s="82"/>
    </row>
    <row r="25" spans="1:25" ht="14.6" x14ac:dyDescent="0.4">
      <c r="A25" s="83"/>
      <c r="B25" s="383" t="str">
        <f t="shared" si="7"/>
        <v>6120-5</v>
      </c>
      <c r="C25" s="151" t="s">
        <v>141</v>
      </c>
      <c r="D25" s="210">
        <v>25</v>
      </c>
      <c r="E25" s="241">
        <v>45</v>
      </c>
      <c r="F25" s="154"/>
      <c r="G25" s="107">
        <v>6.56</v>
      </c>
      <c r="H25" s="378">
        <f t="shared" si="4"/>
        <v>459.2</v>
      </c>
      <c r="I25" s="90">
        <f t="shared" ca="1" si="8"/>
        <v>0</v>
      </c>
      <c r="J25" s="90">
        <f t="shared" ca="1" si="9"/>
        <v>459.2</v>
      </c>
      <c r="K25" s="90">
        <v>426.4</v>
      </c>
      <c r="L25" s="3"/>
      <c r="M25" s="3"/>
      <c r="N25" s="89"/>
      <c r="O25" s="82"/>
      <c r="P25" s="165"/>
    </row>
    <row r="26" spans="1:25" ht="14.6" x14ac:dyDescent="0.4">
      <c r="A26" s="139"/>
      <c r="B26" s="829" t="str">
        <f t="shared" si="7"/>
        <v>6120-6</v>
      </c>
      <c r="C26" s="142" t="s">
        <v>142</v>
      </c>
      <c r="D26" s="243">
        <v>650</v>
      </c>
      <c r="E26" s="245">
        <v>1550</v>
      </c>
      <c r="F26" s="246"/>
      <c r="G26" s="122">
        <v>0.5</v>
      </c>
      <c r="H26" s="379">
        <f t="shared" si="4"/>
        <v>1100</v>
      </c>
      <c r="I26" s="578">
        <f t="shared" ca="1" si="8"/>
        <v>0</v>
      </c>
      <c r="J26" s="578">
        <f t="shared" ca="1" si="9"/>
        <v>1100</v>
      </c>
      <c r="K26" s="113">
        <v>1175</v>
      </c>
      <c r="L26" s="3"/>
      <c r="M26" s="247"/>
      <c r="N26" s="137"/>
      <c r="O26" s="82"/>
    </row>
    <row r="27" spans="1:25" ht="14.6" x14ac:dyDescent="0.4">
      <c r="A27" s="83"/>
      <c r="B27" s="215" t="str">
        <f t="shared" si="7"/>
        <v>6120-7</v>
      </c>
      <c r="C27" s="151" t="s">
        <v>146</v>
      </c>
      <c r="D27" s="248"/>
      <c r="E27" s="249">
        <v>19800</v>
      </c>
      <c r="F27" s="154"/>
      <c r="G27" s="157">
        <v>0.35</v>
      </c>
      <c r="H27" s="378">
        <f t="shared" si="4"/>
        <v>6930</v>
      </c>
      <c r="I27" s="90">
        <f t="shared" ca="1" si="8"/>
        <v>-2655.17</v>
      </c>
      <c r="J27" s="90">
        <f t="shared" ca="1" si="9"/>
        <v>4274.83</v>
      </c>
      <c r="K27" s="90">
        <v>5040.0000000000009</v>
      </c>
      <c r="L27" s="3"/>
      <c r="M27" s="247"/>
      <c r="N27" s="137"/>
      <c r="O27" s="82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6" x14ac:dyDescent="0.4">
      <c r="A28" s="139"/>
      <c r="B28" s="829" t="str">
        <f t="shared" si="7"/>
        <v>6120-8</v>
      </c>
      <c r="C28" s="236" t="s">
        <v>106</v>
      </c>
      <c r="D28" s="237">
        <v>100</v>
      </c>
      <c r="E28" s="245">
        <v>1750</v>
      </c>
      <c r="F28" s="239"/>
      <c r="G28" s="116">
        <v>0.5</v>
      </c>
      <c r="H28" s="379">
        <f t="shared" si="4"/>
        <v>925</v>
      </c>
      <c r="I28" s="578">
        <f t="shared" ca="1" si="8"/>
        <v>-298.99</v>
      </c>
      <c r="J28" s="578">
        <f t="shared" ca="1" si="9"/>
        <v>626.01</v>
      </c>
      <c r="K28" s="113">
        <v>900</v>
      </c>
      <c r="L28" s="3"/>
      <c r="M28" s="247"/>
      <c r="N28" s="137"/>
      <c r="O28" s="82"/>
    </row>
    <row r="29" spans="1:25" ht="14.6" x14ac:dyDescent="0.4">
      <c r="A29" s="83"/>
      <c r="B29" s="215" t="str">
        <f t="shared" si="7"/>
        <v>6120-9</v>
      </c>
      <c r="C29" s="84" t="s">
        <v>148</v>
      </c>
      <c r="D29" s="85"/>
      <c r="E29" s="249">
        <v>250</v>
      </c>
      <c r="F29" s="85"/>
      <c r="G29" s="88">
        <v>2</v>
      </c>
      <c r="H29" s="378">
        <f t="shared" si="4"/>
        <v>500</v>
      </c>
      <c r="I29" s="90">
        <f t="shared" ca="1" si="8"/>
        <v>0</v>
      </c>
      <c r="J29" s="90">
        <f t="shared" ca="1" si="9"/>
        <v>500</v>
      </c>
      <c r="K29" s="90">
        <v>500</v>
      </c>
      <c r="L29" s="3"/>
      <c r="M29" s="17"/>
      <c r="N29" s="137"/>
      <c r="O29" s="82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666" customFormat="1" ht="14.6" x14ac:dyDescent="0.4">
      <c r="A30" s="412" t="s">
        <v>543</v>
      </c>
      <c r="B30" s="829" t="str">
        <f t="shared" si="7"/>
        <v>6120-10</v>
      </c>
      <c r="C30" s="509" t="s">
        <v>542</v>
      </c>
      <c r="D30" s="415">
        <v>1</v>
      </c>
      <c r="E30" s="678"/>
      <c r="F30" s="415"/>
      <c r="G30" s="421">
        <v>6000</v>
      </c>
      <c r="H30" s="379">
        <f t="shared" si="4"/>
        <v>6000</v>
      </c>
      <c r="I30" s="578">
        <f t="shared" ca="1" si="8"/>
        <v>0</v>
      </c>
      <c r="J30" s="578">
        <f t="shared" ca="1" si="9"/>
        <v>6000</v>
      </c>
      <c r="K30" s="417"/>
      <c r="L30" s="3"/>
      <c r="M30" s="17"/>
      <c r="N30" s="137"/>
      <c r="O30" s="667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491" customFormat="1" ht="14.6" x14ac:dyDescent="0.4">
      <c r="A31" s="392"/>
      <c r="B31" s="215" t="str">
        <f t="shared" si="7"/>
        <v>6120-11</v>
      </c>
      <c r="C31" s="399" t="s">
        <v>149</v>
      </c>
      <c r="D31" s="400"/>
      <c r="E31" s="669">
        <v>1</v>
      </c>
      <c r="F31" s="395"/>
      <c r="G31" s="401">
        <v>500</v>
      </c>
      <c r="H31" s="378">
        <f t="shared" si="4"/>
        <v>500</v>
      </c>
      <c r="I31" s="90">
        <f t="shared" ca="1" si="8"/>
        <v>-104.97999999999999</v>
      </c>
      <c r="J31" s="90">
        <f t="shared" ca="1" si="9"/>
        <v>395.02</v>
      </c>
      <c r="K31" s="397">
        <v>500</v>
      </c>
      <c r="L31" s="433"/>
      <c r="M31" s="489"/>
      <c r="N31" s="442"/>
      <c r="O31" s="490"/>
      <c r="P31" s="433"/>
      <c r="Q31" s="433"/>
      <c r="R31" s="433"/>
      <c r="S31" s="433"/>
      <c r="T31" s="433"/>
      <c r="U31" s="433"/>
      <c r="V31" s="433"/>
      <c r="W31" s="433"/>
      <c r="X31" s="433"/>
      <c r="Y31" s="433"/>
    </row>
    <row r="32" spans="1:25" s="491" customFormat="1" ht="14.6" x14ac:dyDescent="0.4">
      <c r="A32" s="412"/>
      <c r="B32" s="829" t="str">
        <f t="shared" si="7"/>
        <v>6120-12</v>
      </c>
      <c r="C32" s="418" t="s">
        <v>150</v>
      </c>
      <c r="D32" s="419"/>
      <c r="E32" s="679">
        <v>1</v>
      </c>
      <c r="F32" s="420"/>
      <c r="G32" s="421">
        <v>1500</v>
      </c>
      <c r="H32" s="379">
        <f t="shared" si="4"/>
        <v>1500</v>
      </c>
      <c r="I32" s="578">
        <f t="shared" ca="1" si="8"/>
        <v>-945</v>
      </c>
      <c r="J32" s="578">
        <f t="shared" ca="1" si="9"/>
        <v>555</v>
      </c>
      <c r="K32" s="417">
        <v>1500</v>
      </c>
      <c r="L32" s="489"/>
      <c r="M32" s="489"/>
      <c r="N32" s="442"/>
      <c r="O32" s="490"/>
      <c r="P32" s="433"/>
      <c r="Q32" s="433"/>
      <c r="R32" s="433"/>
      <c r="S32" s="433"/>
      <c r="T32" s="433"/>
      <c r="U32" s="433"/>
      <c r="V32" s="433"/>
      <c r="W32" s="433"/>
      <c r="X32" s="433"/>
      <c r="Y32" s="433"/>
    </row>
    <row r="33" spans="1:27" s="491" customFormat="1" ht="14.6" x14ac:dyDescent="0.4">
      <c r="A33" s="392"/>
      <c r="B33" s="215" t="str">
        <f t="shared" si="7"/>
        <v>6120-13</v>
      </c>
      <c r="C33" s="393" t="s">
        <v>151</v>
      </c>
      <c r="D33" s="394"/>
      <c r="E33" s="669">
        <v>3</v>
      </c>
      <c r="F33" s="410"/>
      <c r="G33" s="396">
        <v>500</v>
      </c>
      <c r="H33" s="378">
        <f t="shared" si="4"/>
        <v>1500</v>
      </c>
      <c r="I33" s="90">
        <f t="shared" ca="1" si="8"/>
        <v>-400</v>
      </c>
      <c r="J33" s="90">
        <f t="shared" ca="1" si="9"/>
        <v>1100</v>
      </c>
      <c r="K33" s="397">
        <v>1500</v>
      </c>
      <c r="L33" s="433"/>
      <c r="M33" s="489"/>
      <c r="N33" s="442"/>
      <c r="O33" s="490"/>
      <c r="P33" s="433"/>
      <c r="Q33" s="433"/>
      <c r="R33" s="433"/>
      <c r="S33" s="433"/>
      <c r="T33" s="433"/>
      <c r="U33" s="433"/>
      <c r="V33" s="433"/>
      <c r="W33" s="433"/>
      <c r="X33" s="433"/>
      <c r="Y33" s="433"/>
    </row>
    <row r="34" spans="1:27" s="491" customFormat="1" ht="14.6" x14ac:dyDescent="0.4">
      <c r="A34" s="412"/>
      <c r="B34" s="829" t="str">
        <f t="shared" si="7"/>
        <v>6120-14</v>
      </c>
      <c r="C34" s="509" t="s">
        <v>152</v>
      </c>
      <c r="D34" s="680">
        <v>19000</v>
      </c>
      <c r="E34" s="679"/>
      <c r="F34" s="415"/>
      <c r="G34" s="417">
        <v>0.43</v>
      </c>
      <c r="H34" s="379">
        <f t="shared" si="4"/>
        <v>8170</v>
      </c>
      <c r="I34" s="578">
        <f t="shared" ca="1" si="8"/>
        <v>-5717.34</v>
      </c>
      <c r="J34" s="578">
        <f t="shared" ca="1" si="9"/>
        <v>2452.66</v>
      </c>
      <c r="K34" s="417">
        <v>8170</v>
      </c>
      <c r="L34" s="433"/>
      <c r="M34" s="489"/>
      <c r="N34" s="442"/>
      <c r="O34" s="490"/>
      <c r="P34" s="433"/>
      <c r="Q34" s="433"/>
      <c r="R34" s="433"/>
      <c r="S34" s="433"/>
      <c r="T34" s="433"/>
      <c r="U34" s="433"/>
      <c r="V34" s="433"/>
      <c r="W34" s="433"/>
      <c r="X34" s="433"/>
      <c r="Y34" s="433"/>
    </row>
    <row r="35" spans="1:27" s="491" customFormat="1" ht="15" customHeight="1" x14ac:dyDescent="0.4">
      <c r="A35" s="392"/>
      <c r="B35" s="215" t="str">
        <f>LEFT($B34,4)&amp;"-"&amp;VALUE(MID($B34,FIND("-",$B34)+1,256))+1</f>
        <v>6120-15</v>
      </c>
      <c r="C35" s="497" t="s">
        <v>153</v>
      </c>
      <c r="D35" s="672">
        <v>11500</v>
      </c>
      <c r="E35" s="669"/>
      <c r="F35" s="673"/>
      <c r="G35" s="401">
        <v>0.28000000000000003</v>
      </c>
      <c r="H35" s="378">
        <f t="shared" si="4"/>
        <v>3220.0000000000005</v>
      </c>
      <c r="I35" s="90">
        <f t="shared" ca="1" si="8"/>
        <v>-1500</v>
      </c>
      <c r="J35" s="90">
        <f t="shared" ca="1" si="9"/>
        <v>1720.0000000000005</v>
      </c>
      <c r="K35" s="397">
        <v>2800.0000000000005</v>
      </c>
      <c r="L35" s="433"/>
      <c r="M35" s="489"/>
      <c r="N35" s="442"/>
      <c r="O35" s="490"/>
      <c r="P35" s="433"/>
      <c r="Q35" s="433"/>
      <c r="R35" s="433"/>
      <c r="S35" s="433"/>
      <c r="T35" s="433"/>
      <c r="U35" s="433"/>
      <c r="V35" s="433"/>
      <c r="W35" s="433"/>
      <c r="X35" s="433"/>
      <c r="Y35" s="433"/>
    </row>
    <row r="36" spans="1:27" s="491" customFormat="1" ht="14.6" x14ac:dyDescent="0.4">
      <c r="A36" s="412"/>
      <c r="B36" s="829" t="str">
        <f>LEFT($B35,4)&amp;"-"&amp;VALUE(MID($B35,FIND("-",$B35)+1,256))+1</f>
        <v>6120-16</v>
      </c>
      <c r="C36" s="614" t="s">
        <v>154</v>
      </c>
      <c r="D36" s="681">
        <v>4175</v>
      </c>
      <c r="E36" s="679"/>
      <c r="F36" s="682"/>
      <c r="G36" s="416">
        <v>0.5</v>
      </c>
      <c r="H36" s="379">
        <f t="shared" si="4"/>
        <v>2087.5</v>
      </c>
      <c r="I36" s="578">
        <f t="shared" ca="1" si="8"/>
        <v>-6500</v>
      </c>
      <c r="J36" s="578">
        <f t="shared" ca="1" si="9"/>
        <v>-4412.5</v>
      </c>
      <c r="K36" s="417">
        <v>2250</v>
      </c>
      <c r="L36" s="433"/>
      <c r="M36" s="489"/>
      <c r="N36" s="442"/>
      <c r="O36" s="490"/>
      <c r="P36" s="433"/>
      <c r="Q36" s="433"/>
      <c r="R36" s="433"/>
      <c r="S36" s="433"/>
      <c r="T36" s="433"/>
      <c r="U36" s="433"/>
      <c r="V36" s="433"/>
      <c r="W36" s="433"/>
      <c r="X36" s="433"/>
      <c r="Y36" s="433"/>
    </row>
    <row r="37" spans="1:27" s="491" customFormat="1" ht="14.6" x14ac:dyDescent="0.4">
      <c r="A37" s="392"/>
      <c r="B37" s="215" t="str">
        <f>LEFT($B36,4)&amp;"-"&amp;VALUE(MID($B36,FIND("-",$B36)+1,256))+1</f>
        <v>6120-17</v>
      </c>
      <c r="C37" s="497" t="s">
        <v>155</v>
      </c>
      <c r="D37" s="673"/>
      <c r="E37" s="669">
        <v>1200</v>
      </c>
      <c r="F37" s="673"/>
      <c r="G37" s="401">
        <v>0.5</v>
      </c>
      <c r="H37" s="378">
        <f t="shared" si="4"/>
        <v>600</v>
      </c>
      <c r="I37" s="90">
        <f t="shared" ca="1" si="8"/>
        <v>0</v>
      </c>
      <c r="J37" s="90">
        <f t="shared" ca="1" si="9"/>
        <v>600</v>
      </c>
      <c r="K37" s="397">
        <v>600</v>
      </c>
      <c r="L37" s="433"/>
      <c r="M37" s="489"/>
      <c r="N37" s="442"/>
      <c r="O37" s="490"/>
      <c r="P37" s="433"/>
      <c r="Q37" s="433"/>
      <c r="R37" s="433"/>
      <c r="S37" s="433"/>
      <c r="T37" s="433"/>
      <c r="U37" s="433"/>
      <c r="V37" s="433"/>
      <c r="W37" s="433"/>
      <c r="X37" s="433"/>
      <c r="Y37" s="433"/>
    </row>
    <row r="38" spans="1:27" s="491" customFormat="1" ht="14.6" x14ac:dyDescent="0.4">
      <c r="A38" s="412"/>
      <c r="B38" s="412" t="str">
        <f>LEFT($B37,4)&amp;"-"&amp;VALUE(MID($B37,FIND("-",$B37)+1,256))+1</f>
        <v>6120-18</v>
      </c>
      <c r="C38" s="413" t="s">
        <v>156</v>
      </c>
      <c r="D38" s="414"/>
      <c r="E38" s="422"/>
      <c r="F38" s="422">
        <v>2500</v>
      </c>
      <c r="G38" s="416">
        <v>0.5</v>
      </c>
      <c r="H38" s="379">
        <f t="shared" si="4"/>
        <v>1250</v>
      </c>
      <c r="I38" s="578">
        <f t="shared" ca="1" si="8"/>
        <v>0</v>
      </c>
      <c r="J38" s="578">
        <f t="shared" ca="1" si="9"/>
        <v>1250</v>
      </c>
      <c r="K38" s="417">
        <v>1250</v>
      </c>
      <c r="L38" s="433"/>
      <c r="M38" s="489"/>
      <c r="N38" s="442"/>
      <c r="O38" s="490"/>
      <c r="P38" s="433"/>
      <c r="Q38" s="433"/>
      <c r="R38" s="433"/>
      <c r="S38" s="433"/>
      <c r="T38" s="433"/>
      <c r="U38" s="433"/>
      <c r="V38" s="433"/>
      <c r="W38" s="433"/>
      <c r="X38" s="433"/>
      <c r="Y38" s="433"/>
    </row>
    <row r="39" spans="1:27" thickBot="1" x14ac:dyDescent="0.45">
      <c r="A39" s="216"/>
      <c r="B39" s="216"/>
      <c r="C39" s="217" t="s">
        <v>71</v>
      </c>
      <c r="D39" s="218"/>
      <c r="E39" s="218"/>
      <c r="F39" s="49" t="s">
        <v>49</v>
      </c>
      <c r="G39" s="424">
        <f>SUM('3% Overview'!K9)</f>
        <v>0.11120615911035073</v>
      </c>
      <c r="H39" s="377">
        <f>SUM(H21:H38)</f>
        <v>129855.45</v>
      </c>
      <c r="I39" s="141">
        <f t="shared" ref="I39:J39" ca="1" si="10">SUM(I21:I38)</f>
        <v>-93216.999999999971</v>
      </c>
      <c r="J39" s="141">
        <f t="shared" ca="1" si="10"/>
        <v>36638.450000000012</v>
      </c>
      <c r="K39" s="141">
        <f>SUM(K21:K38)</f>
        <v>116855.4</v>
      </c>
      <c r="L39" s="3"/>
      <c r="M39" s="3"/>
      <c r="N39" s="137"/>
      <c r="O39" s="82"/>
    </row>
    <row r="40" spans="1:27" ht="9.75" customHeight="1" thickTop="1" x14ac:dyDescent="0.4">
      <c r="A40" s="216"/>
      <c r="B40" s="216"/>
      <c r="C40" s="217"/>
      <c r="D40" s="218"/>
      <c r="E40" s="218"/>
      <c r="F40" s="49"/>
      <c r="G40" s="219"/>
      <c r="H40" s="432"/>
      <c r="I40" s="256"/>
      <c r="J40" s="256"/>
      <c r="K40" s="256"/>
      <c r="L40" s="3"/>
      <c r="M40" s="3"/>
      <c r="N40" s="137"/>
      <c r="O40" s="8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0.25" customHeight="1" x14ac:dyDescent="0.5">
      <c r="A41" s="897" t="s">
        <v>157</v>
      </c>
      <c r="B41" s="900"/>
      <c r="C41" s="898"/>
      <c r="D41" s="898"/>
      <c r="E41" s="898"/>
      <c r="F41" s="898"/>
      <c r="G41" s="898"/>
      <c r="H41" s="898"/>
      <c r="I41" s="898" t="e">
        <f ca="1">-(SUMIF(INDIRECT(LEFT($A$40,4)&amp;"!E3:E200"),"="&amp;B41&amp;" *",INDIRECT(LEFT($A$40,4)&amp;"!F3:F200")))</f>
        <v>#REF!</v>
      </c>
      <c r="J41" s="898" t="e">
        <f ca="1">SUM(H41:I41)</f>
        <v>#REF!</v>
      </c>
      <c r="K41" s="899"/>
      <c r="L41" s="3"/>
      <c r="M41" s="3"/>
      <c r="N41" s="3"/>
      <c r="O41" s="82"/>
    </row>
    <row r="42" spans="1:27" ht="14.6" x14ac:dyDescent="0.4">
      <c r="A42" s="83" t="s">
        <v>158</v>
      </c>
      <c r="B42" s="830" t="str">
        <f>LEFT($A41,4)&amp;"-1"</f>
        <v>6130-1</v>
      </c>
      <c r="C42" s="84" t="s">
        <v>159</v>
      </c>
      <c r="D42" s="228"/>
      <c r="E42" s="235">
        <v>420000</v>
      </c>
      <c r="F42" s="85"/>
      <c r="G42" s="88">
        <v>0.04</v>
      </c>
      <c r="H42" s="376">
        <f t="shared" ref="H42:H61" si="11">(D42+E42+F42)*G42</f>
        <v>16800</v>
      </c>
      <c r="I42" s="90">
        <f ca="1">-(SUMIF(INDIRECT(LEFT($A$41,4)&amp;"!E3:E200"),"="&amp;B42&amp;" *",INDIRECT(LEFT($A$41,4)&amp;"!F3:F200")))</f>
        <v>-21327.68</v>
      </c>
      <c r="J42" s="90">
        <f ca="1">SUM(H42:I42)</f>
        <v>-4527.68</v>
      </c>
      <c r="K42" s="90">
        <v>16000</v>
      </c>
      <c r="L42" s="257"/>
      <c r="M42" s="17"/>
      <c r="N42" s="137"/>
      <c r="O42" s="82"/>
      <c r="P42" s="228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4">
      <c r="A43" s="139" t="s">
        <v>160</v>
      </c>
      <c r="B43" s="412" t="str">
        <f t="shared" ref="B43:B61" si="12">LEFT($B42,4)&amp;"-"&amp;VALUE(MID($B42,FIND("-",$B42)+1,256))+1</f>
        <v>6130-2</v>
      </c>
      <c r="C43" s="236" t="s">
        <v>161</v>
      </c>
      <c r="D43" s="246"/>
      <c r="E43" s="243">
        <v>84000</v>
      </c>
      <c r="F43" s="239"/>
      <c r="G43" s="116">
        <v>0.04</v>
      </c>
      <c r="H43" s="380">
        <f t="shared" si="11"/>
        <v>3360</v>
      </c>
      <c r="I43" s="417">
        <f ca="1">-(SUMIF(INDIRECT(LEFT($A$41,4)&amp;"!E3:E200"),"="&amp;B43&amp;" *",INDIRECT(LEFT($A$41,4)&amp;"!F3:F200")))</f>
        <v>0</v>
      </c>
      <c r="J43" s="113">
        <f t="shared" ref="J43:J44" ca="1" si="13">SUM(H43:I43)</f>
        <v>3360</v>
      </c>
      <c r="K43" s="113">
        <v>3200</v>
      </c>
      <c r="L43" s="257"/>
      <c r="M43" s="17"/>
      <c r="N43" s="137"/>
      <c r="O43" s="82"/>
      <c r="P43" s="228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6" x14ac:dyDescent="0.4">
      <c r="A44" s="383"/>
      <c r="B44" s="383" t="str">
        <f t="shared" si="12"/>
        <v>6130-3</v>
      </c>
      <c r="C44" s="384" t="s">
        <v>162</v>
      </c>
      <c r="D44" s="385"/>
      <c r="E44" s="386">
        <v>1</v>
      </c>
      <c r="F44" s="387"/>
      <c r="G44" s="388">
        <v>300</v>
      </c>
      <c r="H44" s="389">
        <f t="shared" si="11"/>
        <v>300</v>
      </c>
      <c r="I44" s="90">
        <f t="shared" ref="I44:I61" ca="1" si="14">-(SUMIF(INDIRECT(LEFT($A$41,4)&amp;"!E3:E200"),"="&amp;B44&amp;" *",INDIRECT(LEFT($A$41,4)&amp;"!F3:F200")))</f>
        <v>-32.619999999999997</v>
      </c>
      <c r="J44" s="90">
        <f t="shared" ca="1" si="13"/>
        <v>267.38</v>
      </c>
      <c r="K44" s="390">
        <v>300</v>
      </c>
      <c r="L44" s="257"/>
      <c r="M44" s="17"/>
      <c r="N44" s="137"/>
      <c r="O44" s="82"/>
      <c r="P44" s="228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6" x14ac:dyDescent="0.4">
      <c r="A45" s="412"/>
      <c r="B45" s="683" t="str">
        <f t="shared" si="12"/>
        <v>6130-4</v>
      </c>
      <c r="C45" s="413" t="s">
        <v>166</v>
      </c>
      <c r="D45" s="414"/>
      <c r="E45" s="414">
        <v>194250</v>
      </c>
      <c r="F45" s="415"/>
      <c r="G45" s="416">
        <v>2.1999999999999999E-2</v>
      </c>
      <c r="H45" s="382">
        <f t="shared" si="11"/>
        <v>4273.5</v>
      </c>
      <c r="I45" s="417">
        <f t="shared" ca="1" si="14"/>
        <v>-3843.8800000000006</v>
      </c>
      <c r="J45" s="113">
        <f t="shared" ref="J45:J61" ca="1" si="15">SUM(H45:I45)</f>
        <v>429.61999999999944</v>
      </c>
      <c r="K45" s="417">
        <v>4069.9999999999995</v>
      </c>
      <c r="L45" s="3"/>
      <c r="M45" s="17"/>
      <c r="N45" s="137"/>
      <c r="O45" s="82"/>
      <c r="P45" s="248"/>
    </row>
    <row r="46" spans="1:27" ht="14.6" x14ac:dyDescent="0.4">
      <c r="A46" s="392" t="s">
        <v>167</v>
      </c>
      <c r="B46" s="830" t="str">
        <f t="shared" si="12"/>
        <v>6130-5</v>
      </c>
      <c r="C46" s="393" t="s">
        <v>168</v>
      </c>
      <c r="D46" s="394"/>
      <c r="E46" s="394">
        <v>194250</v>
      </c>
      <c r="F46" s="395"/>
      <c r="G46" s="396">
        <v>2.5499999999999998E-2</v>
      </c>
      <c r="H46" s="389">
        <f t="shared" si="11"/>
        <v>4953.375</v>
      </c>
      <c r="I46" s="90">
        <f t="shared" ca="1" si="14"/>
        <v>-4693.7699999999995</v>
      </c>
      <c r="J46" s="90">
        <f t="shared" ca="1" si="15"/>
        <v>259.60500000000047</v>
      </c>
      <c r="K46" s="397">
        <v>4717.5</v>
      </c>
      <c r="L46" s="3"/>
      <c r="M46" s="17"/>
      <c r="N46" s="137"/>
      <c r="O46" s="82"/>
      <c r="P46" s="248"/>
    </row>
    <row r="47" spans="1:27" ht="14.6" x14ac:dyDescent="0.4">
      <c r="A47" s="412" t="s">
        <v>536</v>
      </c>
      <c r="B47" s="412" t="str">
        <f t="shared" si="12"/>
        <v>6130-6</v>
      </c>
      <c r="C47" s="418" t="s">
        <v>169</v>
      </c>
      <c r="D47" s="419"/>
      <c r="E47" s="419">
        <v>20790</v>
      </c>
      <c r="F47" s="420"/>
      <c r="G47" s="416">
        <v>0.02</v>
      </c>
      <c r="H47" s="382">
        <f t="shared" si="11"/>
        <v>415.8</v>
      </c>
      <c r="I47" s="417">
        <f t="shared" ca="1" si="14"/>
        <v>-368.22</v>
      </c>
      <c r="J47" s="113">
        <f t="shared" ca="1" si="15"/>
        <v>47.579999999999984</v>
      </c>
      <c r="K47" s="417">
        <v>396</v>
      </c>
      <c r="L47" s="3"/>
      <c r="M47" s="17"/>
      <c r="N47" s="137"/>
      <c r="O47" s="82"/>
      <c r="P47" s="251"/>
    </row>
    <row r="48" spans="1:27" ht="14.6" x14ac:dyDescent="0.4">
      <c r="A48" s="392"/>
      <c r="B48" s="830" t="str">
        <f t="shared" si="12"/>
        <v>6130-7</v>
      </c>
      <c r="C48" s="399" t="s">
        <v>170</v>
      </c>
      <c r="D48" s="400"/>
      <c r="E48" s="400">
        <v>194250</v>
      </c>
      <c r="F48" s="395"/>
      <c r="G48" s="401">
        <v>3.5000000000000003E-2</v>
      </c>
      <c r="H48" s="389">
        <f t="shared" si="11"/>
        <v>6798.7500000000009</v>
      </c>
      <c r="I48" s="90">
        <f t="shared" ca="1" si="14"/>
        <v>-7508.32</v>
      </c>
      <c r="J48" s="90">
        <f t="shared" ca="1" si="15"/>
        <v>-709.5699999999988</v>
      </c>
      <c r="K48" s="397">
        <v>6475.0000000000009</v>
      </c>
      <c r="L48" s="3"/>
      <c r="M48" s="17"/>
      <c r="N48" s="137"/>
      <c r="O48" s="82"/>
      <c r="P48" s="251"/>
      <c r="Q48" s="3"/>
      <c r="R48" s="3"/>
      <c r="S48" s="3"/>
      <c r="T48" s="3"/>
      <c r="U48" s="3"/>
      <c r="V48" s="3"/>
      <c r="W48" s="3"/>
      <c r="X48" s="3"/>
      <c r="Y48" s="3"/>
    </row>
    <row r="49" spans="1:27" ht="14.6" x14ac:dyDescent="0.4">
      <c r="A49" s="412"/>
      <c r="B49" s="412" t="str">
        <f t="shared" si="12"/>
        <v>6130-8</v>
      </c>
      <c r="C49" s="413" t="s">
        <v>171</v>
      </c>
      <c r="D49" s="414"/>
      <c r="E49" s="414">
        <v>194250</v>
      </c>
      <c r="F49" s="420"/>
      <c r="G49" s="416">
        <v>8.0000000000000002E-3</v>
      </c>
      <c r="H49" s="382">
        <f t="shared" si="11"/>
        <v>1554</v>
      </c>
      <c r="I49" s="417">
        <f t="shared" ca="1" si="14"/>
        <v>-1320.61</v>
      </c>
      <c r="J49" s="113">
        <f t="shared" ca="1" si="15"/>
        <v>233.3900000000001</v>
      </c>
      <c r="K49" s="417">
        <v>1480</v>
      </c>
      <c r="L49" s="3"/>
      <c r="M49" s="17"/>
      <c r="N49" s="137"/>
      <c r="O49" s="82"/>
      <c r="P49" s="248"/>
    </row>
    <row r="50" spans="1:27" ht="14.6" x14ac:dyDescent="0.4">
      <c r="A50" s="392"/>
      <c r="B50" s="830" t="str">
        <f t="shared" si="12"/>
        <v>6130-9</v>
      </c>
      <c r="C50" s="399" t="s">
        <v>172</v>
      </c>
      <c r="D50" s="400"/>
      <c r="E50" s="400">
        <v>3200</v>
      </c>
      <c r="F50" s="395"/>
      <c r="G50" s="396">
        <v>0.5</v>
      </c>
      <c r="H50" s="389">
        <f t="shared" si="11"/>
        <v>1600</v>
      </c>
      <c r="I50" s="90">
        <f t="shared" ca="1" si="14"/>
        <v>-1633.0999999999997</v>
      </c>
      <c r="J50" s="90">
        <f t="shared" ca="1" si="15"/>
        <v>-33.099999999999682</v>
      </c>
      <c r="K50" s="397">
        <v>1525</v>
      </c>
      <c r="L50" s="3"/>
      <c r="M50" s="17"/>
      <c r="N50" s="137"/>
      <c r="O50" s="82"/>
      <c r="P50" s="251"/>
    </row>
    <row r="51" spans="1:27" ht="14.6" x14ac:dyDescent="0.4">
      <c r="A51" s="412"/>
      <c r="B51" s="412" t="str">
        <f t="shared" si="12"/>
        <v>6130-10</v>
      </c>
      <c r="C51" s="418" t="s">
        <v>173</v>
      </c>
      <c r="D51" s="419"/>
      <c r="E51" s="419">
        <v>2</v>
      </c>
      <c r="F51" s="420"/>
      <c r="G51" s="421">
        <v>76</v>
      </c>
      <c r="H51" s="382">
        <f t="shared" si="11"/>
        <v>152</v>
      </c>
      <c r="I51" s="417">
        <f t="shared" ca="1" si="14"/>
        <v>0</v>
      </c>
      <c r="J51" s="113">
        <f t="shared" ca="1" si="15"/>
        <v>152</v>
      </c>
      <c r="K51" s="417">
        <v>152</v>
      </c>
      <c r="L51" s="3"/>
      <c r="M51" s="17"/>
      <c r="N51" s="137"/>
      <c r="O51" s="82"/>
      <c r="P51" s="251"/>
    </row>
    <row r="52" spans="1:27" ht="14.6" x14ac:dyDescent="0.4">
      <c r="A52" s="392" t="s">
        <v>174</v>
      </c>
      <c r="B52" s="830" t="str">
        <f t="shared" si="12"/>
        <v>6130-11</v>
      </c>
      <c r="C52" s="402" t="s">
        <v>175</v>
      </c>
      <c r="D52" s="403"/>
      <c r="E52" s="403"/>
      <c r="F52" s="404"/>
      <c r="G52" s="405">
        <v>175</v>
      </c>
      <c r="H52" s="486">
        <f t="shared" si="11"/>
        <v>0</v>
      </c>
      <c r="I52" s="90">
        <f t="shared" ca="1" si="14"/>
        <v>0</v>
      </c>
      <c r="J52" s="90">
        <f t="shared" ca="1" si="15"/>
        <v>0</v>
      </c>
      <c r="K52" s="406">
        <v>875</v>
      </c>
      <c r="L52" s="177"/>
      <c r="M52" s="263"/>
      <c r="N52" s="137"/>
      <c r="O52" s="82"/>
      <c r="P52" s="228"/>
    </row>
    <row r="53" spans="1:27" ht="14.6" x14ac:dyDescent="0.4">
      <c r="A53" s="412"/>
      <c r="B53" s="829" t="str">
        <f t="shared" si="12"/>
        <v>6130-12</v>
      </c>
      <c r="C53" s="418" t="s">
        <v>176</v>
      </c>
      <c r="D53" s="420">
        <v>840</v>
      </c>
      <c r="E53" s="420">
        <v>8400</v>
      </c>
      <c r="F53" s="420"/>
      <c r="G53" s="421">
        <v>0.06</v>
      </c>
      <c r="H53" s="382">
        <f t="shared" si="11"/>
        <v>554.4</v>
      </c>
      <c r="I53" s="417">
        <f t="shared" ca="1" si="14"/>
        <v>-154.31</v>
      </c>
      <c r="J53" s="113">
        <f t="shared" ca="1" si="15"/>
        <v>400.09</v>
      </c>
      <c r="K53" s="417">
        <v>528</v>
      </c>
      <c r="L53" s="3"/>
      <c r="M53" s="17"/>
      <c r="N53" s="137"/>
      <c r="O53" s="82"/>
      <c r="P53" s="8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4.6" x14ac:dyDescent="0.4">
      <c r="A54" s="407"/>
      <c r="B54" s="830" t="str">
        <f t="shared" si="12"/>
        <v>6130-13</v>
      </c>
      <c r="C54" s="408" t="s">
        <v>107</v>
      </c>
      <c r="D54" s="409">
        <v>8600</v>
      </c>
      <c r="E54" s="410"/>
      <c r="F54" s="409">
        <v>12000</v>
      </c>
      <c r="G54" s="396">
        <v>0.06</v>
      </c>
      <c r="H54" s="389">
        <f t="shared" si="11"/>
        <v>1236</v>
      </c>
      <c r="I54" s="90">
        <f t="shared" ca="1" si="14"/>
        <v>-616.42000000000007</v>
      </c>
      <c r="J54" s="90">
        <f t="shared" ca="1" si="15"/>
        <v>619.57999999999993</v>
      </c>
      <c r="K54" s="397">
        <v>720</v>
      </c>
      <c r="L54" s="3"/>
      <c r="M54" s="17"/>
      <c r="N54" s="137"/>
      <c r="O54" s="82"/>
      <c r="P54" s="154"/>
    </row>
    <row r="55" spans="1:27" ht="22.3" x14ac:dyDescent="0.4">
      <c r="A55" s="412" t="s">
        <v>177</v>
      </c>
      <c r="B55" s="412" t="str">
        <f t="shared" si="12"/>
        <v>6130-14</v>
      </c>
      <c r="C55" s="413" t="s">
        <v>178</v>
      </c>
      <c r="D55" s="414"/>
      <c r="E55" s="422"/>
      <c r="F55" s="422">
        <v>0</v>
      </c>
      <c r="G55" s="416">
        <v>0.06</v>
      </c>
      <c r="H55" s="382">
        <f t="shared" si="11"/>
        <v>0</v>
      </c>
      <c r="I55" s="417">
        <f t="shared" ca="1" si="14"/>
        <v>0</v>
      </c>
      <c r="J55" s="113">
        <f t="shared" ca="1" si="15"/>
        <v>0</v>
      </c>
      <c r="K55" s="417">
        <v>150</v>
      </c>
      <c r="L55" s="3"/>
      <c r="M55" s="17"/>
      <c r="N55" s="137"/>
      <c r="O55" s="82"/>
      <c r="P55" s="154"/>
    </row>
    <row r="56" spans="1:27" ht="14.6" x14ac:dyDescent="0.4">
      <c r="A56" s="392"/>
      <c r="B56" s="215" t="str">
        <f t="shared" si="12"/>
        <v>6130-15</v>
      </c>
      <c r="C56" s="393" t="s">
        <v>179</v>
      </c>
      <c r="D56" s="394"/>
      <c r="E56" s="410">
        <v>19800</v>
      </c>
      <c r="F56" s="410"/>
      <c r="G56" s="396">
        <v>0.08</v>
      </c>
      <c r="H56" s="389">
        <f t="shared" si="11"/>
        <v>1584</v>
      </c>
      <c r="I56" s="90">
        <f t="shared" ca="1" si="14"/>
        <v>-597.92999999999995</v>
      </c>
      <c r="J56" s="90">
        <f t="shared" ca="1" si="15"/>
        <v>986.07</v>
      </c>
      <c r="K56" s="397">
        <v>1440</v>
      </c>
      <c r="L56" s="3"/>
      <c r="M56" s="17"/>
      <c r="N56" s="137"/>
      <c r="O56" s="82"/>
      <c r="P56" s="154"/>
    </row>
    <row r="57" spans="1:27" s="666" customFormat="1" ht="14.6" x14ac:dyDescent="0.4">
      <c r="A57" s="683" t="s">
        <v>543</v>
      </c>
      <c r="B57" s="412" t="str">
        <f t="shared" si="12"/>
        <v>6130-16</v>
      </c>
      <c r="C57" s="684" t="s">
        <v>542</v>
      </c>
      <c r="D57" s="685">
        <v>1</v>
      </c>
      <c r="E57" s="686"/>
      <c r="F57" s="686"/>
      <c r="G57" s="687">
        <v>4000</v>
      </c>
      <c r="H57" s="382">
        <f t="shared" si="11"/>
        <v>4000</v>
      </c>
      <c r="I57" s="417">
        <f t="shared" ca="1" si="14"/>
        <v>-571.22</v>
      </c>
      <c r="J57" s="113">
        <f t="shared" ca="1" si="15"/>
        <v>3428.7799999999997</v>
      </c>
      <c r="K57" s="688"/>
      <c r="L57" s="3"/>
      <c r="M57" s="17"/>
      <c r="N57" s="137"/>
      <c r="O57" s="667"/>
      <c r="P57" s="210"/>
    </row>
    <row r="58" spans="1:27" s="491" customFormat="1" ht="14.6" x14ac:dyDescent="0.4">
      <c r="A58" s="383"/>
      <c r="B58" s="383" t="str">
        <f t="shared" si="12"/>
        <v>6130-17</v>
      </c>
      <c r="C58" s="391" t="s">
        <v>180</v>
      </c>
      <c r="D58" s="677">
        <v>19000</v>
      </c>
      <c r="E58" s="677"/>
      <c r="F58" s="676"/>
      <c r="G58" s="675">
        <v>0.41</v>
      </c>
      <c r="H58" s="389">
        <f t="shared" si="11"/>
        <v>7789.9999999999991</v>
      </c>
      <c r="I58" s="90">
        <f t="shared" ca="1" si="14"/>
        <v>-3102.4400000000005</v>
      </c>
      <c r="J58" s="90">
        <f t="shared" ca="1" si="15"/>
        <v>4687.5599999999986</v>
      </c>
      <c r="K58" s="390">
        <v>8200</v>
      </c>
      <c r="L58" s="433"/>
      <c r="M58" s="489"/>
      <c r="N58" s="442"/>
      <c r="O58" s="490"/>
      <c r="P58" s="677"/>
      <c r="Q58" s="433"/>
      <c r="R58" s="433"/>
      <c r="S58" s="433"/>
      <c r="T58" s="433"/>
      <c r="U58" s="433"/>
      <c r="V58" s="433"/>
      <c r="W58" s="433"/>
      <c r="X58" s="433"/>
      <c r="Y58" s="433"/>
      <c r="Z58" s="433"/>
      <c r="AA58" s="433"/>
    </row>
    <row r="59" spans="1:27" s="491" customFormat="1" ht="14.6" x14ac:dyDescent="0.4">
      <c r="A59" s="561"/>
      <c r="B59" s="683" t="str">
        <f t="shared" si="12"/>
        <v>6130-18</v>
      </c>
      <c r="C59" s="562" t="s">
        <v>181</v>
      </c>
      <c r="D59" s="689">
        <v>11500</v>
      </c>
      <c r="E59" s="689"/>
      <c r="F59" s="690"/>
      <c r="G59" s="642">
        <v>0.08</v>
      </c>
      <c r="H59" s="382">
        <f t="shared" si="11"/>
        <v>920</v>
      </c>
      <c r="I59" s="417">
        <f t="shared" ca="1" si="14"/>
        <v>0</v>
      </c>
      <c r="J59" s="113">
        <f t="shared" ca="1" si="15"/>
        <v>920</v>
      </c>
      <c r="K59" s="578">
        <v>800</v>
      </c>
      <c r="L59" s="433"/>
      <c r="M59" s="489"/>
      <c r="N59" s="442"/>
      <c r="O59" s="490"/>
      <c r="P59" s="677"/>
      <c r="Q59" s="433"/>
      <c r="R59" s="433"/>
      <c r="S59" s="433"/>
      <c r="T59" s="433"/>
      <c r="U59" s="433"/>
      <c r="V59" s="433"/>
      <c r="W59" s="433"/>
      <c r="X59" s="433"/>
      <c r="Y59" s="433"/>
    </row>
    <row r="60" spans="1:27" s="491" customFormat="1" ht="14.6" x14ac:dyDescent="0.4">
      <c r="A60" s="383"/>
      <c r="B60" s="830" t="str">
        <f t="shared" si="12"/>
        <v>6130-19</v>
      </c>
      <c r="C60" s="398" t="s">
        <v>183</v>
      </c>
      <c r="D60" s="670"/>
      <c r="E60" s="671">
        <v>12000</v>
      </c>
      <c r="F60" s="671"/>
      <c r="G60" s="388">
        <v>0.1</v>
      </c>
      <c r="H60" s="389">
        <f t="shared" si="11"/>
        <v>1200</v>
      </c>
      <c r="I60" s="90">
        <f t="shared" ca="1" si="14"/>
        <v>-1106.3699999999999</v>
      </c>
      <c r="J60" s="90">
        <f t="shared" ca="1" si="15"/>
        <v>93.630000000000109</v>
      </c>
      <c r="K60" s="390">
        <v>1000</v>
      </c>
      <c r="L60" s="433"/>
      <c r="M60" s="489"/>
      <c r="N60" s="442"/>
      <c r="O60" s="490"/>
      <c r="P60" s="671"/>
      <c r="Q60" s="433"/>
      <c r="R60" s="433"/>
      <c r="S60" s="433"/>
      <c r="T60" s="433"/>
      <c r="U60" s="433"/>
      <c r="V60" s="433"/>
      <c r="W60" s="433"/>
      <c r="X60" s="433"/>
      <c r="Y60" s="433"/>
      <c r="Z60" s="433"/>
      <c r="AA60" s="433"/>
    </row>
    <row r="61" spans="1:27" ht="14.6" x14ac:dyDescent="0.4">
      <c r="A61" s="561"/>
      <c r="B61" s="412" t="str">
        <f t="shared" si="12"/>
        <v>6130-20</v>
      </c>
      <c r="C61" s="639" t="s">
        <v>188</v>
      </c>
      <c r="D61" s="689"/>
      <c r="E61" s="689"/>
      <c r="F61" s="689">
        <v>1</v>
      </c>
      <c r="G61" s="642">
        <v>1300</v>
      </c>
      <c r="H61" s="382">
        <f t="shared" si="11"/>
        <v>1300</v>
      </c>
      <c r="I61" s="417">
        <f t="shared" ca="1" si="14"/>
        <v>-2846.25</v>
      </c>
      <c r="J61" s="113">
        <f t="shared" ca="1" si="15"/>
        <v>-1546.25</v>
      </c>
      <c r="K61" s="578">
        <v>1300</v>
      </c>
      <c r="L61" s="3"/>
      <c r="M61" s="17"/>
      <c r="N61" s="137"/>
      <c r="O61" s="82"/>
      <c r="P61" s="3"/>
    </row>
    <row r="62" spans="1:27" thickBot="1" x14ac:dyDescent="0.45">
      <c r="A62" s="131"/>
      <c r="C62" s="217" t="s">
        <v>71</v>
      </c>
      <c r="D62" s="218"/>
      <c r="E62" s="218"/>
      <c r="F62" s="49" t="s">
        <v>49</v>
      </c>
      <c r="G62" s="424">
        <f>SUM('3% Overview'!K10)</f>
        <v>0.10112359550561797</v>
      </c>
      <c r="H62" s="423">
        <f>SUM(H42:H61)</f>
        <v>58791.825000000004</v>
      </c>
      <c r="I62" s="423">
        <f t="shared" ref="I62:J62" ca="1" si="16">SUM(I42:I61)</f>
        <v>-49723.140000000007</v>
      </c>
      <c r="J62" s="423">
        <f t="shared" ca="1" si="16"/>
        <v>9068.6850000000013</v>
      </c>
      <c r="K62" s="141">
        <f>SUM(K42:K61)</f>
        <v>53328.5</v>
      </c>
      <c r="L62" s="3"/>
      <c r="M62" s="3"/>
      <c r="N62" s="137"/>
      <c r="O62" s="82"/>
      <c r="P62" s="3"/>
    </row>
    <row r="63" spans="1:27" ht="10.5" customHeight="1" thickTop="1" x14ac:dyDescent="0.4">
      <c r="A63" s="131"/>
      <c r="B63" s="131"/>
      <c r="C63" s="217"/>
      <c r="D63" s="218"/>
      <c r="E63" s="218"/>
      <c r="F63" s="49"/>
      <c r="G63" s="265"/>
      <c r="H63" s="432"/>
      <c r="I63" s="256"/>
      <c r="J63" s="256"/>
      <c r="K63" s="256"/>
      <c r="L63" s="3"/>
      <c r="M63" s="3"/>
      <c r="N63" s="3"/>
      <c r="O63" s="82"/>
      <c r="P63" s="3"/>
    </row>
    <row r="64" spans="1:27" ht="19.5" customHeight="1" x14ac:dyDescent="0.5">
      <c r="A64" s="897" t="s">
        <v>190</v>
      </c>
      <c r="B64" s="900"/>
      <c r="C64" s="898"/>
      <c r="D64" s="898"/>
      <c r="E64" s="898"/>
      <c r="F64" s="898"/>
      <c r="G64" s="898"/>
      <c r="H64" s="898"/>
      <c r="I64" s="898"/>
      <c r="J64" s="898"/>
      <c r="K64" s="899"/>
      <c r="L64" s="3"/>
      <c r="M64" s="3"/>
      <c r="N64" s="3"/>
      <c r="O64" s="82"/>
    </row>
    <row r="65" spans="1:27" thickBot="1" x14ac:dyDescent="0.45">
      <c r="A65" s="487" t="s">
        <v>465</v>
      </c>
      <c r="B65" s="487" t="str">
        <f>LEFT($A64,4)&amp;"-1"</f>
        <v>6140-1</v>
      </c>
      <c r="C65" s="266" t="s">
        <v>191</v>
      </c>
      <c r="D65" s="145"/>
      <c r="E65" s="145">
        <v>12</v>
      </c>
      <c r="F65" s="145"/>
      <c r="G65" s="425">
        <v>600</v>
      </c>
      <c r="H65" s="850">
        <f>(D65+E65+F65)*G65</f>
        <v>7200</v>
      </c>
      <c r="I65" s="850">
        <f ca="1">-(SUMIF(INDIRECT(LEFT($A$64,4)&amp;"!E3:E200"),"="&amp;B65&amp;" *",INDIRECT(LEFT($A$64,4)&amp;"!F3:F200")))</f>
        <v>-6938.130000000001</v>
      </c>
      <c r="J65" s="850">
        <f ca="1">SUM(H65:I65)</f>
        <v>261.86999999999898</v>
      </c>
      <c r="K65" s="96">
        <v>6000</v>
      </c>
      <c r="L65" s="3"/>
      <c r="M65" s="17"/>
      <c r="N65" s="267"/>
      <c r="O65" s="82"/>
    </row>
    <row r="66" spans="1:27" ht="15.75" customHeight="1" thickTop="1" thickBot="1" x14ac:dyDescent="0.45">
      <c r="A66" s="131"/>
      <c r="B66" s="830" t="str">
        <f>LEFT($A65,4)&amp;"-1"</f>
        <v>Incr-1</v>
      </c>
      <c r="C66" s="221" t="s">
        <v>71</v>
      </c>
      <c r="D66" s="222"/>
      <c r="E66" s="222"/>
      <c r="F66" s="49" t="s">
        <v>49</v>
      </c>
      <c r="G66" s="424">
        <f>SUM('3% Overview'!K11)</f>
        <v>0.2</v>
      </c>
      <c r="H66" s="423">
        <f>SUM(H65)</f>
        <v>7200</v>
      </c>
      <c r="I66" s="423">
        <f t="shared" ref="I66:J66" ca="1" si="17">SUM(I65)</f>
        <v>-6938.130000000001</v>
      </c>
      <c r="J66" s="423">
        <f t="shared" ca="1" si="17"/>
        <v>261.86999999999898</v>
      </c>
      <c r="K66" s="268">
        <f>SUM(K65)</f>
        <v>6000</v>
      </c>
      <c r="L66" s="3"/>
      <c r="M66" s="3"/>
      <c r="N66" s="3"/>
      <c r="O66" s="82"/>
    </row>
    <row r="67" spans="1:27" ht="9.75" customHeight="1" x14ac:dyDescent="0.4">
      <c r="A67" s="131"/>
      <c r="B67" s="131"/>
      <c r="C67" s="221"/>
      <c r="D67" s="222"/>
      <c r="E67" s="222"/>
      <c r="F67" s="222"/>
      <c r="G67" s="143"/>
      <c r="H67" s="476"/>
      <c r="I67" s="96"/>
      <c r="J67" s="96"/>
      <c r="K67" s="96"/>
      <c r="L67" s="3"/>
      <c r="M67" s="3"/>
      <c r="N67" s="3"/>
      <c r="O67" s="82"/>
    </row>
    <row r="68" spans="1:27" ht="19.5" customHeight="1" x14ac:dyDescent="0.5">
      <c r="A68" s="902" t="s">
        <v>192</v>
      </c>
      <c r="B68" s="903"/>
      <c r="C68" s="898"/>
      <c r="D68" s="898"/>
      <c r="E68" s="898"/>
      <c r="F68" s="898"/>
      <c r="G68" s="898"/>
      <c r="H68" s="898"/>
      <c r="I68" s="898"/>
      <c r="J68" s="898"/>
      <c r="K68" s="899"/>
      <c r="L68" s="3"/>
      <c r="M68" s="3"/>
      <c r="N68" s="3"/>
      <c r="O68" s="82"/>
    </row>
    <row r="69" spans="1:27" ht="14.6" x14ac:dyDescent="0.4">
      <c r="A69" s="83"/>
      <c r="B69" s="215" t="str">
        <f>LEFT($A68,4)&amp;"-1"</f>
        <v>6150-1</v>
      </c>
      <c r="C69" s="269" t="s">
        <v>193</v>
      </c>
      <c r="D69" s="270"/>
      <c r="E69" s="126">
        <v>10</v>
      </c>
      <c r="F69" s="271"/>
      <c r="G69" s="427">
        <v>200</v>
      </c>
      <c r="H69" s="376">
        <f t="shared" ref="H69:H70" si="18">SUM((D69+E69+F69)*G69)</f>
        <v>2000</v>
      </c>
      <c r="I69" s="376">
        <f ca="1">-(SUMIF(INDIRECT(LEFT($A$68,4)&amp;"!E3:E200"),"="&amp;B69&amp;" *",INDIRECT(LEFT($A$68,4)&amp;"!F3:F200")))</f>
        <v>0</v>
      </c>
      <c r="J69" s="376">
        <f t="shared" ref="J69:J70" ca="1" si="19">SUM(H69:I69)</f>
        <v>2000</v>
      </c>
      <c r="K69" s="137">
        <v>2000</v>
      </c>
      <c r="L69" s="3"/>
      <c r="M69" s="247"/>
      <c r="N69" s="137"/>
      <c r="O69" s="272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7" ht="14.6" x14ac:dyDescent="0.4">
      <c r="A70" s="273"/>
      <c r="B70" s="412" t="str">
        <f t="shared" ref="B70:B88" si="20">LEFT($B69,4)&amp;"-"&amp;VALUE(MID($B69,FIND("-",$B69)+1,256))+1</f>
        <v>6150-2</v>
      </c>
      <c r="C70" s="142" t="s">
        <v>194</v>
      </c>
      <c r="D70" s="123"/>
      <c r="E70" s="115">
        <v>6</v>
      </c>
      <c r="F70" s="123"/>
      <c r="G70" s="428">
        <v>350</v>
      </c>
      <c r="H70" s="380">
        <f t="shared" si="18"/>
        <v>2100</v>
      </c>
      <c r="I70" s="113">
        <f ca="1">-(SUMIF(INDIRECT(LEFT($A$68,4)&amp;"!E3:E200"),"="&amp;B70&amp;" *",INDIRECT(LEFT($A$68,4)&amp;"!F3:F200")))</f>
        <v>0</v>
      </c>
      <c r="J70" s="113">
        <f t="shared" ca="1" si="19"/>
        <v>2100</v>
      </c>
      <c r="K70" s="185">
        <v>2100</v>
      </c>
      <c r="L70" s="3"/>
      <c r="M70" s="247"/>
      <c r="N70" s="137"/>
      <c r="O70" s="82"/>
    </row>
    <row r="71" spans="1:27" ht="14.6" x14ac:dyDescent="0.4">
      <c r="A71" s="711" t="s">
        <v>195</v>
      </c>
      <c r="B71" s="830" t="str">
        <f t="shared" si="20"/>
        <v>6150-3</v>
      </c>
      <c r="C71" s="274" t="s">
        <v>196</v>
      </c>
      <c r="D71" s="275"/>
      <c r="E71" s="276"/>
      <c r="F71" s="276"/>
      <c r="G71" s="430">
        <v>300</v>
      </c>
      <c r="H71" s="429">
        <f t="shared" ref="H71:H72" si="21">(D71+E71+F71)*G71</f>
        <v>0</v>
      </c>
      <c r="I71" s="376">
        <f t="shared" ref="I71:I88" ca="1" si="22">-(SUMIF(INDIRECT(LEFT($A$68,4)&amp;"!E3:E200"),"="&amp;B71&amp;" *",INDIRECT(LEFT($A$68,4)&amp;"!F3:F200")))</f>
        <v>0</v>
      </c>
      <c r="J71" s="376">
        <f t="shared" ref="J71:J88" ca="1" si="23">SUM(H71:I71)</f>
        <v>0</v>
      </c>
      <c r="K71" s="137">
        <v>1500</v>
      </c>
      <c r="L71" s="3"/>
      <c r="M71" s="3"/>
      <c r="N71" s="137"/>
      <c r="O71" s="8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4.6" x14ac:dyDescent="0.4">
      <c r="A72" s="273"/>
      <c r="B72" s="412" t="str">
        <f t="shared" si="20"/>
        <v>6150-4</v>
      </c>
      <c r="C72" s="142" t="s">
        <v>197</v>
      </c>
      <c r="D72" s="155"/>
      <c r="E72" s="426">
        <v>7</v>
      </c>
      <c r="F72" s="155"/>
      <c r="G72" s="428">
        <v>320</v>
      </c>
      <c r="H72" s="380">
        <f t="shared" si="21"/>
        <v>2240</v>
      </c>
      <c r="I72" s="113">
        <f t="shared" ca="1" si="22"/>
        <v>-3328.29</v>
      </c>
      <c r="J72" s="113">
        <f t="shared" ca="1" si="23"/>
        <v>-1088.29</v>
      </c>
      <c r="K72" s="185">
        <v>3200</v>
      </c>
      <c r="L72" s="3"/>
      <c r="M72" s="247"/>
      <c r="N72" s="137"/>
      <c r="O72" s="82"/>
      <c r="P72" s="17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4.6" x14ac:dyDescent="0.4">
      <c r="A73" s="278"/>
      <c r="B73" s="836" t="str">
        <f t="shared" si="20"/>
        <v>6150-5</v>
      </c>
      <c r="C73" s="160" t="s">
        <v>198</v>
      </c>
      <c r="D73" s="167">
        <v>2</v>
      </c>
      <c r="E73" s="276"/>
      <c r="F73" s="276"/>
      <c r="G73" s="427">
        <v>1500</v>
      </c>
      <c r="H73" s="376">
        <f>(D73+E73+F73)*G73</f>
        <v>3000</v>
      </c>
      <c r="I73" s="376">
        <f t="shared" ca="1" si="22"/>
        <v>-1695.1600000000003</v>
      </c>
      <c r="J73" s="376">
        <f t="shared" ca="1" si="23"/>
        <v>1304.8399999999997</v>
      </c>
      <c r="K73" s="137">
        <v>3000</v>
      </c>
      <c r="L73" s="280"/>
      <c r="M73" s="17"/>
      <c r="N73" s="137"/>
    </row>
    <row r="74" spans="1:27" s="712" customFormat="1" ht="14.6" x14ac:dyDescent="0.4">
      <c r="A74" s="723" t="s">
        <v>549</v>
      </c>
      <c r="B74" s="785" t="str">
        <f t="shared" si="20"/>
        <v>6150-6</v>
      </c>
      <c r="C74" s="777" t="s">
        <v>550</v>
      </c>
      <c r="D74" s="729">
        <v>7</v>
      </c>
      <c r="E74" s="448"/>
      <c r="F74" s="448"/>
      <c r="G74" s="460">
        <v>2000</v>
      </c>
      <c r="H74" s="382">
        <f>(D74+E74+F74)*G74</f>
        <v>14000</v>
      </c>
      <c r="I74" s="113">
        <f t="shared" ca="1" si="22"/>
        <v>-14246.070000000002</v>
      </c>
      <c r="J74" s="113">
        <f t="shared" ca="1" si="23"/>
        <v>-246.07000000000153</v>
      </c>
      <c r="K74" s="449"/>
      <c r="L74" s="3"/>
      <c r="N74" s="137"/>
      <c r="O74" s="71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s="491" customFormat="1" ht="14.6" x14ac:dyDescent="0.4">
      <c r="A75" s="434"/>
      <c r="B75" s="438" t="str">
        <f t="shared" si="20"/>
        <v>6150-7</v>
      </c>
      <c r="C75" s="628" t="s">
        <v>199</v>
      </c>
      <c r="D75" s="444"/>
      <c r="E75" s="444"/>
      <c r="F75" s="444"/>
      <c r="G75" s="629">
        <v>150</v>
      </c>
      <c r="H75" s="389">
        <f t="shared" ref="H75:H77" si="24">(D75+E75+F75)*G75</f>
        <v>0</v>
      </c>
      <c r="I75" s="376">
        <f t="shared" ca="1" si="22"/>
        <v>0</v>
      </c>
      <c r="J75" s="376">
        <f t="shared" ca="1" si="23"/>
        <v>0</v>
      </c>
      <c r="K75" s="437">
        <v>900</v>
      </c>
      <c r="L75" s="433"/>
      <c r="M75" s="489"/>
      <c r="N75" s="442"/>
      <c r="O75" s="490"/>
      <c r="P75" s="489"/>
      <c r="Q75" s="433"/>
      <c r="R75" s="433"/>
      <c r="S75" s="433"/>
      <c r="T75" s="433"/>
      <c r="U75" s="433"/>
      <c r="V75" s="433"/>
      <c r="W75" s="433"/>
      <c r="X75" s="433"/>
      <c r="Y75" s="433"/>
      <c r="Z75" s="433"/>
      <c r="AA75" s="433"/>
    </row>
    <row r="76" spans="1:27" s="491" customFormat="1" ht="14.6" x14ac:dyDescent="0.4">
      <c r="A76" s="723" t="s">
        <v>494</v>
      </c>
      <c r="B76" s="785" t="str">
        <f t="shared" si="20"/>
        <v>6150-8</v>
      </c>
      <c r="C76" s="648" t="s">
        <v>201</v>
      </c>
      <c r="D76" s="724"/>
      <c r="E76" s="448">
        <v>4</v>
      </c>
      <c r="F76" s="448"/>
      <c r="G76" s="460">
        <v>2500</v>
      </c>
      <c r="H76" s="382">
        <f t="shared" si="24"/>
        <v>10000</v>
      </c>
      <c r="I76" s="113">
        <f t="shared" ca="1" si="22"/>
        <v>-5350.57</v>
      </c>
      <c r="J76" s="113">
        <f t="shared" ca="1" si="23"/>
        <v>4649.43</v>
      </c>
      <c r="K76" s="449">
        <v>3600</v>
      </c>
      <c r="L76" s="433"/>
      <c r="N76" s="442"/>
      <c r="O76" s="490"/>
      <c r="P76" s="433"/>
      <c r="Q76" s="433"/>
      <c r="R76" s="433"/>
      <c r="S76" s="433"/>
      <c r="T76" s="433"/>
      <c r="U76" s="433"/>
      <c r="V76" s="433"/>
      <c r="W76" s="433"/>
      <c r="X76" s="433"/>
      <c r="Y76" s="433"/>
      <c r="Z76" s="433"/>
      <c r="AA76" s="433"/>
    </row>
    <row r="77" spans="1:27" s="491" customFormat="1" ht="14.6" x14ac:dyDescent="0.4">
      <c r="A77" s="434"/>
      <c r="B77" s="438" t="str">
        <f t="shared" si="20"/>
        <v>6150-9</v>
      </c>
      <c r="C77" s="399" t="s">
        <v>202</v>
      </c>
      <c r="D77" s="435"/>
      <c r="E77" s="435"/>
      <c r="F77" s="435">
        <v>1</v>
      </c>
      <c r="G77" s="461">
        <v>5000</v>
      </c>
      <c r="H77" s="389">
        <f t="shared" si="24"/>
        <v>5000</v>
      </c>
      <c r="I77" s="376">
        <f t="shared" ca="1" si="22"/>
        <v>-6736.52</v>
      </c>
      <c r="J77" s="376">
        <f t="shared" ca="1" si="23"/>
        <v>-1736.5200000000004</v>
      </c>
      <c r="K77" s="437">
        <v>5000</v>
      </c>
      <c r="L77" s="433"/>
      <c r="M77" s="489"/>
      <c r="N77" s="442"/>
      <c r="O77" s="490"/>
      <c r="P77" s="433"/>
      <c r="Q77" s="433"/>
      <c r="R77" s="433"/>
      <c r="S77" s="433"/>
      <c r="T77" s="433"/>
      <c r="U77" s="433"/>
      <c r="V77" s="433"/>
      <c r="W77" s="433"/>
      <c r="X77" s="433"/>
      <c r="Y77" s="433"/>
      <c r="Z77" s="433"/>
      <c r="AA77" s="433"/>
    </row>
    <row r="78" spans="1:27" s="491" customFormat="1" ht="14.6" x14ac:dyDescent="0.4">
      <c r="A78" s="446"/>
      <c r="B78" s="785" t="str">
        <f t="shared" si="20"/>
        <v>6150-10</v>
      </c>
      <c r="C78" s="413" t="s">
        <v>203</v>
      </c>
      <c r="D78" s="725"/>
      <c r="E78" s="473">
        <v>2</v>
      </c>
      <c r="F78" s="537"/>
      <c r="G78" s="460">
        <v>3500</v>
      </c>
      <c r="H78" s="382">
        <f t="shared" ref="H78:H84" si="25">SUM((D78+E78+F78)*G78)</f>
        <v>7000</v>
      </c>
      <c r="I78" s="113">
        <f t="shared" ca="1" si="22"/>
        <v>-803.38000000000011</v>
      </c>
      <c r="J78" s="113">
        <f t="shared" ca="1" si="23"/>
        <v>6196.62</v>
      </c>
      <c r="K78" s="417">
        <v>7000</v>
      </c>
      <c r="L78" s="433"/>
      <c r="M78" s="617"/>
      <c r="N78" s="442"/>
      <c r="O78" s="490"/>
      <c r="P78" s="490"/>
      <c r="Q78" s="433"/>
      <c r="R78" s="433"/>
      <c r="S78" s="433"/>
      <c r="T78" s="433"/>
      <c r="U78" s="433"/>
      <c r="V78" s="433"/>
      <c r="W78" s="433"/>
      <c r="X78" s="433"/>
      <c r="Y78" s="433"/>
      <c r="Z78" s="433"/>
      <c r="AA78" s="433"/>
    </row>
    <row r="79" spans="1:27" s="491" customFormat="1" ht="14.6" x14ac:dyDescent="0.4">
      <c r="A79" s="603" t="s">
        <v>493</v>
      </c>
      <c r="B79" s="836" t="str">
        <f t="shared" si="20"/>
        <v>6150-11</v>
      </c>
      <c r="C79" s="719" t="s">
        <v>492</v>
      </c>
      <c r="D79" s="444"/>
      <c r="E79" s="444">
        <v>18</v>
      </c>
      <c r="F79" s="720"/>
      <c r="G79" s="461">
        <v>1300</v>
      </c>
      <c r="H79" s="389">
        <f t="shared" si="25"/>
        <v>23400</v>
      </c>
      <c r="I79" s="376">
        <f t="shared" ca="1" si="22"/>
        <v>0</v>
      </c>
      <c r="J79" s="376">
        <f t="shared" ca="1" si="23"/>
        <v>23400</v>
      </c>
      <c r="K79" s="437">
        <v>27300</v>
      </c>
      <c r="L79" s="433"/>
      <c r="M79" s="617"/>
      <c r="N79" s="442"/>
      <c r="O79" s="490"/>
      <c r="P79" s="433"/>
      <c r="Q79" s="433"/>
      <c r="R79" s="433"/>
      <c r="S79" s="433"/>
      <c r="T79" s="433"/>
      <c r="U79" s="433"/>
      <c r="V79" s="433"/>
      <c r="W79" s="433"/>
      <c r="X79" s="433"/>
      <c r="Y79" s="433"/>
      <c r="Z79" s="433"/>
      <c r="AA79" s="433"/>
    </row>
    <row r="80" spans="1:27" s="491" customFormat="1" ht="14.6" x14ac:dyDescent="0.4">
      <c r="A80" s="446"/>
      <c r="B80" s="446" t="str">
        <f t="shared" si="20"/>
        <v>6150-12</v>
      </c>
      <c r="C80" s="726" t="s">
        <v>204</v>
      </c>
      <c r="D80" s="473"/>
      <c r="E80" s="473"/>
      <c r="F80" s="510"/>
      <c r="G80" s="467">
        <v>600</v>
      </c>
      <c r="H80" s="382">
        <f t="shared" si="25"/>
        <v>0</v>
      </c>
      <c r="I80" s="113">
        <f t="shared" ca="1" si="22"/>
        <v>-195.89</v>
      </c>
      <c r="J80" s="113">
        <f t="shared" ca="1" si="23"/>
        <v>-195.89</v>
      </c>
      <c r="K80" s="449">
        <v>1200</v>
      </c>
      <c r="L80" s="433"/>
      <c r="M80" s="489"/>
      <c r="N80" s="442"/>
      <c r="O80" s="490"/>
    </row>
    <row r="81" spans="1:27" s="491" customFormat="1" ht="14.6" x14ac:dyDescent="0.4">
      <c r="A81" s="434" t="s">
        <v>205</v>
      </c>
      <c r="B81" s="438" t="str">
        <f t="shared" si="20"/>
        <v>6150-13</v>
      </c>
      <c r="C81" s="411" t="s">
        <v>206</v>
      </c>
      <c r="D81" s="444">
        <v>1</v>
      </c>
      <c r="E81" s="444"/>
      <c r="F81" s="445">
        <v>1</v>
      </c>
      <c r="G81" s="461">
        <v>1500</v>
      </c>
      <c r="H81" s="389">
        <f t="shared" si="25"/>
        <v>3000</v>
      </c>
      <c r="I81" s="376">
        <f t="shared" ca="1" si="22"/>
        <v>-2786.8</v>
      </c>
      <c r="J81" s="376">
        <f t="shared" ca="1" si="23"/>
        <v>213.19999999999982</v>
      </c>
      <c r="K81" s="437">
        <v>4500</v>
      </c>
      <c r="L81" s="433"/>
      <c r="M81" s="489"/>
      <c r="N81" s="442"/>
      <c r="O81" s="490"/>
      <c r="P81" s="433"/>
      <c r="Q81" s="433"/>
      <c r="R81" s="433"/>
      <c r="S81" s="433"/>
      <c r="T81" s="433"/>
      <c r="U81" s="433"/>
      <c r="V81" s="433"/>
      <c r="W81" s="433"/>
      <c r="X81" s="433"/>
      <c r="Y81" s="433"/>
    </row>
    <row r="82" spans="1:27" s="491" customFormat="1" ht="14.6" x14ac:dyDescent="0.4">
      <c r="A82" s="446"/>
      <c r="B82" s="785" t="str">
        <f t="shared" si="20"/>
        <v>6150-14</v>
      </c>
      <c r="C82" s="413" t="s">
        <v>207</v>
      </c>
      <c r="D82" s="473"/>
      <c r="E82" s="473">
        <v>5</v>
      </c>
      <c r="F82" s="474"/>
      <c r="G82" s="460">
        <v>300</v>
      </c>
      <c r="H82" s="382">
        <f t="shared" si="25"/>
        <v>1500</v>
      </c>
      <c r="I82" s="113">
        <f t="shared" ca="1" si="22"/>
        <v>0</v>
      </c>
      <c r="J82" s="113">
        <f t="shared" ca="1" si="23"/>
        <v>1500</v>
      </c>
      <c r="K82" s="449">
        <v>3000</v>
      </c>
      <c r="L82" s="433"/>
      <c r="M82" s="617"/>
      <c r="N82" s="442"/>
      <c r="O82" s="490"/>
    </row>
    <row r="83" spans="1:27" s="491" customFormat="1" ht="14.6" x14ac:dyDescent="0.4">
      <c r="A83" s="603"/>
      <c r="B83" s="383" t="str">
        <f t="shared" si="20"/>
        <v>6150-15</v>
      </c>
      <c r="C83" s="411" t="s">
        <v>208</v>
      </c>
      <c r="D83" s="444"/>
      <c r="E83" s="444"/>
      <c r="F83" s="445">
        <v>2</v>
      </c>
      <c r="G83" s="461">
        <v>400</v>
      </c>
      <c r="H83" s="389">
        <f t="shared" si="25"/>
        <v>800</v>
      </c>
      <c r="I83" s="376">
        <f t="shared" ca="1" si="22"/>
        <v>0</v>
      </c>
      <c r="J83" s="376">
        <f t="shared" ca="1" si="23"/>
        <v>800</v>
      </c>
      <c r="K83" s="437">
        <v>800</v>
      </c>
      <c r="L83" s="433"/>
      <c r="M83" s="489"/>
      <c r="N83" s="442"/>
      <c r="O83" s="490"/>
      <c r="P83" s="433"/>
      <c r="Q83" s="433"/>
      <c r="R83" s="433"/>
      <c r="S83" s="433"/>
      <c r="T83" s="433"/>
      <c r="U83" s="433"/>
      <c r="V83" s="433"/>
      <c r="W83" s="433"/>
      <c r="X83" s="433"/>
      <c r="Y83" s="433"/>
      <c r="Z83" s="433"/>
      <c r="AA83" s="433"/>
    </row>
    <row r="84" spans="1:27" s="491" customFormat="1" ht="14.6" x14ac:dyDescent="0.4">
      <c r="A84" s="446"/>
      <c r="B84" s="446" t="str">
        <f t="shared" si="20"/>
        <v>6150-16</v>
      </c>
      <c r="C84" s="413" t="s">
        <v>209</v>
      </c>
      <c r="D84" s="473"/>
      <c r="E84" s="473">
        <v>1</v>
      </c>
      <c r="F84" s="474"/>
      <c r="G84" s="460">
        <v>350</v>
      </c>
      <c r="H84" s="382">
        <f t="shared" si="25"/>
        <v>350</v>
      </c>
      <c r="I84" s="113">
        <f t="shared" ca="1" si="22"/>
        <v>0</v>
      </c>
      <c r="J84" s="113">
        <f t="shared" ca="1" si="23"/>
        <v>350</v>
      </c>
      <c r="K84" s="449">
        <v>350</v>
      </c>
      <c r="L84" s="433"/>
      <c r="M84" s="489"/>
      <c r="N84" s="442"/>
      <c r="O84" s="490"/>
      <c r="P84" s="433"/>
      <c r="Q84" s="433"/>
      <c r="R84" s="433"/>
      <c r="S84" s="433"/>
      <c r="T84" s="433"/>
      <c r="U84" s="433"/>
      <c r="V84" s="433"/>
      <c r="W84" s="433"/>
      <c r="X84" s="433"/>
      <c r="Y84" s="433"/>
      <c r="Z84" s="433"/>
      <c r="AA84" s="433"/>
    </row>
    <row r="85" spans="1:27" s="491" customFormat="1" ht="14.6" x14ac:dyDescent="0.4">
      <c r="A85" s="434" t="s">
        <v>210</v>
      </c>
      <c r="B85" s="832" t="str">
        <f t="shared" si="20"/>
        <v>6150-17</v>
      </c>
      <c r="C85" s="721" t="s">
        <v>211</v>
      </c>
      <c r="D85" s="444"/>
      <c r="E85" s="444">
        <v>5</v>
      </c>
      <c r="F85" s="445"/>
      <c r="G85" s="461">
        <v>500</v>
      </c>
      <c r="H85" s="389">
        <f t="shared" ref="H85:H88" si="26">(D85+E85+F85)*G85</f>
        <v>2500</v>
      </c>
      <c r="I85" s="376">
        <f t="shared" ca="1" si="22"/>
        <v>-3610.3</v>
      </c>
      <c r="J85" s="376">
        <f t="shared" ca="1" si="23"/>
        <v>-1110.3000000000002</v>
      </c>
      <c r="K85" s="437">
        <v>2500</v>
      </c>
      <c r="L85" s="722"/>
      <c r="M85" s="489"/>
      <c r="N85" s="442"/>
      <c r="O85" s="490"/>
      <c r="P85" s="489"/>
      <c r="Q85" s="433"/>
      <c r="R85" s="433"/>
      <c r="S85" s="433"/>
      <c r="T85" s="433"/>
      <c r="U85" s="433"/>
      <c r="V85" s="433"/>
      <c r="W85" s="433"/>
      <c r="X85" s="433"/>
      <c r="Y85" s="433"/>
      <c r="Z85" s="433"/>
      <c r="AA85" s="433"/>
    </row>
    <row r="86" spans="1:27" s="491" customFormat="1" ht="14.6" x14ac:dyDescent="0.4">
      <c r="A86" s="727"/>
      <c r="B86" s="412" t="str">
        <f t="shared" si="20"/>
        <v>6150-18</v>
      </c>
      <c r="C86" s="728" t="s">
        <v>212</v>
      </c>
      <c r="D86" s="724"/>
      <c r="E86" s="448"/>
      <c r="F86" s="448"/>
      <c r="G86" s="467">
        <v>500</v>
      </c>
      <c r="H86" s="382">
        <f t="shared" si="26"/>
        <v>0</v>
      </c>
      <c r="I86" s="113">
        <f t="shared" ca="1" si="22"/>
        <v>0</v>
      </c>
      <c r="J86" s="113">
        <f t="shared" ca="1" si="23"/>
        <v>0</v>
      </c>
      <c r="K86" s="449">
        <v>1500</v>
      </c>
      <c r="L86" s="433"/>
      <c r="M86" s="433"/>
      <c r="N86" s="442"/>
      <c r="O86" s="490"/>
      <c r="P86" s="433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</row>
    <row r="87" spans="1:27" s="491" customFormat="1" ht="14.6" x14ac:dyDescent="0.4">
      <c r="A87" s="434"/>
      <c r="B87" s="832" t="str">
        <f t="shared" si="20"/>
        <v>6150-19</v>
      </c>
      <c r="C87" s="628" t="s">
        <v>213</v>
      </c>
      <c r="D87" s="444"/>
      <c r="E87" s="444"/>
      <c r="F87" s="445"/>
      <c r="G87" s="629">
        <v>200</v>
      </c>
      <c r="H87" s="389">
        <f t="shared" si="26"/>
        <v>0</v>
      </c>
      <c r="I87" s="376">
        <f t="shared" ca="1" si="22"/>
        <v>0</v>
      </c>
      <c r="J87" s="376">
        <f t="shared" ca="1" si="23"/>
        <v>0</v>
      </c>
      <c r="K87" s="437">
        <v>800</v>
      </c>
      <c r="L87" s="433"/>
      <c r="M87" s="489"/>
      <c r="N87" s="442"/>
      <c r="O87" s="490"/>
      <c r="P87" s="433"/>
      <c r="Q87" s="433"/>
      <c r="R87" s="433"/>
      <c r="S87" s="433"/>
      <c r="T87" s="433"/>
      <c r="U87" s="433"/>
      <c r="V87" s="433"/>
      <c r="W87" s="433"/>
      <c r="X87" s="433"/>
      <c r="Y87" s="433"/>
      <c r="Z87" s="433"/>
      <c r="AA87" s="433"/>
    </row>
    <row r="88" spans="1:27" ht="14.6" x14ac:dyDescent="0.4">
      <c r="A88" s="723"/>
      <c r="B88" s="785" t="str">
        <f t="shared" si="20"/>
        <v>6150-20</v>
      </c>
      <c r="C88" s="648" t="s">
        <v>214</v>
      </c>
      <c r="D88" s="729">
        <v>2</v>
      </c>
      <c r="E88" s="448">
        <v>2</v>
      </c>
      <c r="F88" s="448">
        <v>4</v>
      </c>
      <c r="G88" s="460">
        <v>250</v>
      </c>
      <c r="H88" s="382">
        <f t="shared" si="26"/>
        <v>2000</v>
      </c>
      <c r="I88" s="113">
        <f t="shared" ca="1" si="22"/>
        <v>0</v>
      </c>
      <c r="J88" s="113">
        <f t="shared" ca="1" si="23"/>
        <v>2000</v>
      </c>
      <c r="K88" s="449">
        <v>2500</v>
      </c>
      <c r="L88" s="3"/>
      <c r="M88" s="3"/>
      <c r="N88" s="137"/>
      <c r="O88" s="82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thickBot="1" x14ac:dyDescent="0.45">
      <c r="A89" s="83"/>
      <c r="C89" s="217" t="s">
        <v>71</v>
      </c>
      <c r="D89" s="218"/>
      <c r="E89" s="218"/>
      <c r="F89" s="49" t="s">
        <v>49</v>
      </c>
      <c r="G89" s="424">
        <f>SUM('3% Overview'!K12)</f>
        <v>8.3791208791208785E-2</v>
      </c>
      <c r="H89" s="423">
        <f>SUM(H69:H88)</f>
        <v>78890</v>
      </c>
      <c r="I89" s="423">
        <f t="shared" ref="I89:J89" ca="1" si="27">SUM(I69:I88)</f>
        <v>-38752.98000000001</v>
      </c>
      <c r="J89" s="892">
        <f t="shared" ca="1" si="27"/>
        <v>40137.01999999999</v>
      </c>
      <c r="K89" s="288">
        <f>SUM(K69:K88)</f>
        <v>72750</v>
      </c>
      <c r="L89" s="3"/>
      <c r="M89" s="3"/>
      <c r="N89" s="137"/>
      <c r="O89" s="82"/>
    </row>
    <row r="90" spans="1:27" ht="9.75" customHeight="1" thickTop="1" x14ac:dyDescent="0.4">
      <c r="A90" s="83"/>
      <c r="C90" s="217"/>
      <c r="D90" s="218"/>
      <c r="E90" s="218"/>
      <c r="F90" s="49"/>
      <c r="G90" s="134"/>
      <c r="H90" s="432"/>
      <c r="I90" s="256"/>
      <c r="J90" s="256"/>
      <c r="K90" s="289"/>
      <c r="L90" s="3"/>
      <c r="M90" s="3"/>
      <c r="N90" s="137"/>
      <c r="O90" s="82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9.5" customHeight="1" x14ac:dyDescent="0.5">
      <c r="A91" s="897" t="s">
        <v>215</v>
      </c>
      <c r="B91" s="900"/>
      <c r="C91" s="898"/>
      <c r="D91" s="898"/>
      <c r="E91" s="898"/>
      <c r="F91" s="898"/>
      <c r="G91" s="898"/>
      <c r="H91" s="898"/>
      <c r="I91" s="898" t="e">
        <f t="shared" ref="I91" ca="1" si="28">-(SUMIF(INDIRECT(LEFT($A$69,4)&amp;"!E3:E200"),"="&amp;B91&amp;" *",INDIRECT(LEFT($A$69,4)&amp;"!F3:F200")))</f>
        <v>#REF!</v>
      </c>
      <c r="J91" s="898" t="e">
        <f t="shared" ref="J91:J92" ca="1" si="29">SUM(H91:I91)</f>
        <v>#REF!</v>
      </c>
      <c r="K91" s="899"/>
      <c r="L91" s="3"/>
      <c r="M91" s="3"/>
      <c r="N91" s="3"/>
      <c r="O91" s="82"/>
    </row>
    <row r="92" spans="1:27" ht="14.6" x14ac:dyDescent="0.4">
      <c r="A92" s="278"/>
      <c r="B92" s="832" t="str">
        <f>LEFT($A91,4)&amp;"-1"</f>
        <v>6160-1</v>
      </c>
      <c r="C92" s="151" t="s">
        <v>216</v>
      </c>
      <c r="D92" s="285"/>
      <c r="E92" s="126">
        <v>1</v>
      </c>
      <c r="F92" s="285"/>
      <c r="G92" s="427">
        <v>250</v>
      </c>
      <c r="H92" s="376">
        <f t="shared" ref="H92:H108" si="30">(D92+E92+F92)*G92</f>
        <v>250</v>
      </c>
      <c r="I92" s="90">
        <f ca="1">-(SUMIF(INDIRECT(LEFT($A$91,4)&amp;"!E3:E200"),"="&amp;B92&amp;" *",INDIRECT(LEFT($A$91,4)&amp;"!F3:F200")))</f>
        <v>0</v>
      </c>
      <c r="J92" s="90">
        <f t="shared" ca="1" si="29"/>
        <v>250</v>
      </c>
      <c r="K92" s="137">
        <v>500</v>
      </c>
      <c r="L92" s="3"/>
      <c r="M92" s="17"/>
      <c r="N92" s="137"/>
      <c r="O92" s="82"/>
    </row>
    <row r="93" spans="1:27" ht="14.6" x14ac:dyDescent="0.4">
      <c r="A93" s="590" t="s">
        <v>495</v>
      </c>
      <c r="B93" s="446" t="str">
        <f t="shared" ref="B93:B108" si="31">LEFT($B92,4)&amp;"-"&amp;VALUE(MID($B92,FIND("-",$B92)+1,256))+1</f>
        <v>6160-2</v>
      </c>
      <c r="C93" s="180" t="s">
        <v>217</v>
      </c>
      <c r="D93" s="282"/>
      <c r="E93" s="155"/>
      <c r="F93" s="282"/>
      <c r="G93" s="431">
        <v>500</v>
      </c>
      <c r="H93" s="465">
        <f t="shared" si="30"/>
        <v>0</v>
      </c>
      <c r="I93" s="417">
        <f ca="1">-(SUMIF(INDIRECT(LEFT($A$91,4)&amp;"!E3:E200"),"="&amp;B93&amp;" *",INDIRECT(LEFT($A$91,4)&amp;"!F3:F200")))</f>
        <v>0</v>
      </c>
      <c r="J93" s="417">
        <f t="shared" ref="J93:J94" ca="1" si="32">SUM(H93:I93)</f>
        <v>0</v>
      </c>
      <c r="K93" s="185">
        <v>2500</v>
      </c>
      <c r="L93" s="90"/>
      <c r="M93" s="137"/>
      <c r="N93" s="137"/>
      <c r="O93" s="290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7" ht="14.6" x14ac:dyDescent="0.4">
      <c r="A94" s="278"/>
      <c r="B94" s="438" t="str">
        <f t="shared" si="31"/>
        <v>6160-3</v>
      </c>
      <c r="C94" s="84" t="s">
        <v>218</v>
      </c>
      <c r="D94" s="291"/>
      <c r="E94" s="167">
        <v>10</v>
      </c>
      <c r="F94" s="291"/>
      <c r="G94" s="427">
        <v>65</v>
      </c>
      <c r="H94" s="376">
        <f t="shared" si="30"/>
        <v>650</v>
      </c>
      <c r="I94" s="90">
        <f t="shared" ref="I94:I108" ca="1" si="33">-(SUMIF(INDIRECT(LEFT($A$91,4)&amp;"!E3:E200"),"="&amp;B94&amp;" *",INDIRECT(LEFT($A$91,4)&amp;"!F3:F200")))</f>
        <v>-481</v>
      </c>
      <c r="J94" s="90">
        <f t="shared" ca="1" si="32"/>
        <v>169</v>
      </c>
      <c r="K94" s="137">
        <v>600</v>
      </c>
      <c r="L94" s="3"/>
      <c r="M94" s="17"/>
      <c r="N94" s="137"/>
      <c r="O94" s="82"/>
    </row>
    <row r="95" spans="1:27" ht="14.6" x14ac:dyDescent="0.4">
      <c r="A95" s="273"/>
      <c r="B95" s="446" t="str">
        <f t="shared" si="31"/>
        <v>6160-4</v>
      </c>
      <c r="C95" s="212" t="s">
        <v>219</v>
      </c>
      <c r="D95" s="292"/>
      <c r="E95" s="129">
        <v>3</v>
      </c>
      <c r="F95" s="292"/>
      <c r="G95" s="428">
        <v>95</v>
      </c>
      <c r="H95" s="382">
        <f t="shared" si="30"/>
        <v>285</v>
      </c>
      <c r="I95" s="417">
        <f t="shared" ca="1" si="33"/>
        <v>0</v>
      </c>
      <c r="J95" s="417">
        <f t="shared" ref="J95:J108" ca="1" si="34">SUM(H95:I95)</f>
        <v>285</v>
      </c>
      <c r="K95" s="185">
        <v>270</v>
      </c>
      <c r="L95" s="3"/>
      <c r="M95" s="17"/>
      <c r="N95" s="137"/>
      <c r="O95" s="82"/>
    </row>
    <row r="96" spans="1:27" ht="14.6" x14ac:dyDescent="0.4">
      <c r="A96" s="278"/>
      <c r="B96" s="438" t="str">
        <f t="shared" si="31"/>
        <v>6160-5</v>
      </c>
      <c r="C96" s="160" t="s">
        <v>220</v>
      </c>
      <c r="D96" s="293"/>
      <c r="E96" s="167">
        <v>5</v>
      </c>
      <c r="F96" s="293"/>
      <c r="G96" s="427">
        <v>110</v>
      </c>
      <c r="H96" s="376">
        <f t="shared" si="30"/>
        <v>550</v>
      </c>
      <c r="I96" s="90">
        <f t="shared" ca="1" si="33"/>
        <v>0</v>
      </c>
      <c r="J96" s="90">
        <f t="shared" ca="1" si="34"/>
        <v>550</v>
      </c>
      <c r="K96" s="137">
        <v>550</v>
      </c>
      <c r="L96" s="3"/>
      <c r="M96" s="17"/>
      <c r="N96" s="137"/>
      <c r="O96" s="82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7" ht="14.6" x14ac:dyDescent="0.4">
      <c r="A97" s="541"/>
      <c r="B97" s="446" t="str">
        <f t="shared" si="31"/>
        <v>6160-6</v>
      </c>
      <c r="C97" s="555" t="s">
        <v>221</v>
      </c>
      <c r="D97" s="544"/>
      <c r="E97" s="544">
        <v>1</v>
      </c>
      <c r="F97" s="556"/>
      <c r="G97" s="557">
        <v>350</v>
      </c>
      <c r="H97" s="382">
        <f t="shared" si="30"/>
        <v>350</v>
      </c>
      <c r="I97" s="417">
        <f t="shared" ca="1" si="33"/>
        <v>-452.12</v>
      </c>
      <c r="J97" s="417">
        <f t="shared" ca="1" si="34"/>
        <v>-102.12</v>
      </c>
      <c r="K97" s="471">
        <v>350</v>
      </c>
      <c r="L97" s="3"/>
      <c r="M97" s="17"/>
      <c r="N97" s="137"/>
      <c r="O97" s="82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7" ht="14.6" x14ac:dyDescent="0.4">
      <c r="A98" s="464" t="s">
        <v>232</v>
      </c>
      <c r="B98" s="438" t="str">
        <f t="shared" si="31"/>
        <v>6160-7</v>
      </c>
      <c r="C98" s="294" t="s">
        <v>233</v>
      </c>
      <c r="D98" s="218"/>
      <c r="E98" s="468">
        <v>4</v>
      </c>
      <c r="F98" s="49"/>
      <c r="G98" s="461">
        <v>1200</v>
      </c>
      <c r="H98" s="376">
        <f>(D98+E98+F98)*G98</f>
        <v>4800</v>
      </c>
      <c r="I98" s="90">
        <f t="shared" ca="1" si="33"/>
        <v>-271.56</v>
      </c>
      <c r="J98" s="90">
        <f t="shared" ca="1" si="34"/>
        <v>4528.4399999999996</v>
      </c>
      <c r="K98" s="560">
        <v>0</v>
      </c>
      <c r="L98" s="3"/>
      <c r="M98" s="483"/>
      <c r="N98" s="295"/>
      <c r="O98" s="290"/>
    </row>
    <row r="99" spans="1:27" s="491" customFormat="1" ht="14.6" x14ac:dyDescent="0.4">
      <c r="A99" s="446"/>
      <c r="B99" s="446" t="str">
        <f t="shared" si="31"/>
        <v>6160-8</v>
      </c>
      <c r="C99" s="418" t="s">
        <v>222</v>
      </c>
      <c r="D99" s="447"/>
      <c r="E99" s="448">
        <v>15</v>
      </c>
      <c r="F99" s="447"/>
      <c r="G99" s="460">
        <v>10</v>
      </c>
      <c r="H99" s="382">
        <f t="shared" si="30"/>
        <v>150</v>
      </c>
      <c r="I99" s="417">
        <f t="shared" ca="1" si="33"/>
        <v>0</v>
      </c>
      <c r="J99" s="417">
        <f t="shared" ca="1" si="34"/>
        <v>150</v>
      </c>
      <c r="K99" s="449">
        <v>150</v>
      </c>
      <c r="L99" s="433"/>
      <c r="M99" s="489"/>
      <c r="N99" s="442"/>
      <c r="O99" s="490"/>
      <c r="P99" s="433"/>
      <c r="Q99" s="433"/>
      <c r="R99" s="433"/>
      <c r="S99" s="433"/>
      <c r="T99" s="433"/>
      <c r="U99" s="433"/>
      <c r="V99" s="433"/>
      <c r="W99" s="433"/>
      <c r="X99" s="433"/>
      <c r="Y99" s="433"/>
    </row>
    <row r="100" spans="1:27" s="491" customFormat="1" ht="14.6" x14ac:dyDescent="0.4">
      <c r="A100" s="438"/>
      <c r="B100" s="438" t="str">
        <f t="shared" si="31"/>
        <v>6160-9</v>
      </c>
      <c r="C100" s="398" t="s">
        <v>223</v>
      </c>
      <c r="D100" s="440"/>
      <c r="E100" s="441">
        <v>3</v>
      </c>
      <c r="F100" s="440"/>
      <c r="G100" s="462">
        <v>300</v>
      </c>
      <c r="H100" s="389">
        <f t="shared" si="30"/>
        <v>900</v>
      </c>
      <c r="I100" s="90">
        <f t="shared" ca="1" si="33"/>
        <v>0</v>
      </c>
      <c r="J100" s="90">
        <f t="shared" ca="1" si="34"/>
        <v>900</v>
      </c>
      <c r="K100" s="442">
        <v>900</v>
      </c>
      <c r="L100" s="433"/>
      <c r="M100" s="489"/>
      <c r="N100" s="442"/>
      <c r="O100" s="490"/>
    </row>
    <row r="101" spans="1:27" s="491" customFormat="1" ht="14.6" x14ac:dyDescent="0.4">
      <c r="A101" s="451"/>
      <c r="B101" s="446" t="str">
        <f t="shared" si="31"/>
        <v>6160-10</v>
      </c>
      <c r="C101" s="575" t="s">
        <v>224</v>
      </c>
      <c r="D101" s="456"/>
      <c r="E101" s="626">
        <v>1</v>
      </c>
      <c r="F101" s="457"/>
      <c r="G101" s="463">
        <v>5000</v>
      </c>
      <c r="H101" s="382">
        <f t="shared" si="30"/>
        <v>5000</v>
      </c>
      <c r="I101" s="417">
        <f t="shared" ca="1" si="33"/>
        <v>-1456.8400000000004</v>
      </c>
      <c r="J101" s="417">
        <f t="shared" ca="1" si="34"/>
        <v>3543.16</v>
      </c>
      <c r="K101" s="455">
        <v>5000</v>
      </c>
      <c r="L101" s="433"/>
      <c r="M101" s="489"/>
      <c r="N101" s="442"/>
      <c r="O101" s="490"/>
      <c r="P101" s="433"/>
      <c r="Q101" s="433"/>
      <c r="R101" s="433"/>
      <c r="S101" s="433"/>
      <c r="T101" s="433"/>
      <c r="U101" s="433"/>
      <c r="V101" s="433"/>
      <c r="W101" s="433"/>
      <c r="X101" s="433"/>
      <c r="Y101" s="433"/>
    </row>
    <row r="102" spans="1:27" s="491" customFormat="1" ht="14.6" x14ac:dyDescent="0.4">
      <c r="A102" s="438"/>
      <c r="B102" s="438" t="str">
        <f t="shared" si="31"/>
        <v>6160-11</v>
      </c>
      <c r="C102" s="439" t="s">
        <v>225</v>
      </c>
      <c r="D102" s="440"/>
      <c r="E102" s="441"/>
      <c r="F102" s="440"/>
      <c r="G102" s="466">
        <v>80</v>
      </c>
      <c r="H102" s="486">
        <f t="shared" si="30"/>
        <v>0</v>
      </c>
      <c r="I102" s="90">
        <f t="shared" ca="1" si="33"/>
        <v>0</v>
      </c>
      <c r="J102" s="90">
        <f t="shared" ca="1" si="34"/>
        <v>0</v>
      </c>
      <c r="K102" s="442">
        <v>480</v>
      </c>
      <c r="L102" s="433"/>
      <c r="M102" s="489"/>
      <c r="N102" s="442"/>
      <c r="O102" s="490"/>
      <c r="P102" s="433"/>
      <c r="Q102" s="433"/>
      <c r="R102" s="433"/>
      <c r="S102" s="433"/>
      <c r="T102" s="433"/>
      <c r="U102" s="433"/>
      <c r="V102" s="433"/>
      <c r="W102" s="433"/>
      <c r="X102" s="433"/>
      <c r="Y102" s="433"/>
      <c r="Z102" s="433"/>
      <c r="AA102" s="433"/>
    </row>
    <row r="103" spans="1:27" s="491" customFormat="1" ht="14.6" x14ac:dyDescent="0.4">
      <c r="A103" s="446"/>
      <c r="B103" s="446" t="str">
        <f t="shared" si="31"/>
        <v>6160-12</v>
      </c>
      <c r="C103" s="418" t="s">
        <v>226</v>
      </c>
      <c r="D103" s="447"/>
      <c r="E103" s="448">
        <v>6</v>
      </c>
      <c r="F103" s="447"/>
      <c r="G103" s="460">
        <v>20</v>
      </c>
      <c r="H103" s="382">
        <f t="shared" si="30"/>
        <v>120</v>
      </c>
      <c r="I103" s="417">
        <f t="shared" ca="1" si="33"/>
        <v>-155.72999999999999</v>
      </c>
      <c r="J103" s="417">
        <f t="shared" ca="1" si="34"/>
        <v>-35.72999999999999</v>
      </c>
      <c r="K103" s="449">
        <v>120</v>
      </c>
      <c r="L103" s="433"/>
      <c r="M103" s="489"/>
      <c r="N103" s="442"/>
      <c r="O103" s="490"/>
      <c r="P103" s="433"/>
      <c r="Q103" s="433"/>
      <c r="R103" s="433"/>
      <c r="S103" s="433"/>
      <c r="T103" s="433"/>
      <c r="U103" s="433"/>
      <c r="V103" s="433"/>
      <c r="W103" s="433"/>
      <c r="X103" s="433"/>
      <c r="Y103" s="433"/>
      <c r="Z103" s="433"/>
      <c r="AA103" s="433"/>
    </row>
    <row r="104" spans="1:27" s="491" customFormat="1" ht="14.6" x14ac:dyDescent="0.4">
      <c r="A104" s="434"/>
      <c r="B104" s="438" t="str">
        <f t="shared" si="31"/>
        <v>6160-13</v>
      </c>
      <c r="C104" s="628" t="s">
        <v>227</v>
      </c>
      <c r="D104" s="443"/>
      <c r="E104" s="444"/>
      <c r="F104" s="443"/>
      <c r="G104" s="629">
        <v>130</v>
      </c>
      <c r="H104" s="486">
        <f t="shared" si="30"/>
        <v>0</v>
      </c>
      <c r="I104" s="90">
        <f t="shared" ca="1" si="33"/>
        <v>0</v>
      </c>
      <c r="J104" s="90">
        <f t="shared" ca="1" si="34"/>
        <v>0</v>
      </c>
      <c r="K104" s="437">
        <v>1300</v>
      </c>
      <c r="L104" s="433"/>
      <c r="M104" s="489"/>
      <c r="N104" s="442"/>
      <c r="O104" s="490"/>
      <c r="P104" s="433"/>
      <c r="Q104" s="433"/>
      <c r="R104" s="433"/>
      <c r="S104" s="433"/>
      <c r="T104" s="433"/>
      <c r="U104" s="433"/>
      <c r="V104" s="433"/>
      <c r="W104" s="433"/>
      <c r="X104" s="433"/>
      <c r="Y104" s="433"/>
      <c r="Z104" s="433"/>
      <c r="AA104" s="433"/>
    </row>
    <row r="105" spans="1:27" s="491" customFormat="1" ht="14.6" x14ac:dyDescent="0.4">
      <c r="A105" s="627"/>
      <c r="B105" s="446" t="str">
        <f t="shared" si="31"/>
        <v>6160-14</v>
      </c>
      <c r="C105" s="450" t="s">
        <v>228</v>
      </c>
      <c r="D105" s="447"/>
      <c r="E105" s="448"/>
      <c r="F105" s="447"/>
      <c r="G105" s="467">
        <v>450</v>
      </c>
      <c r="H105" s="465">
        <f t="shared" si="30"/>
        <v>0</v>
      </c>
      <c r="I105" s="417">
        <f t="shared" ca="1" si="33"/>
        <v>0</v>
      </c>
      <c r="J105" s="417">
        <f t="shared" ca="1" si="34"/>
        <v>0</v>
      </c>
      <c r="K105" s="449">
        <v>1800</v>
      </c>
      <c r="L105" s="433"/>
      <c r="M105" s="489"/>
      <c r="N105" s="442"/>
      <c r="O105" s="490"/>
      <c r="P105" s="490"/>
      <c r="Q105" s="433"/>
      <c r="R105" s="433"/>
      <c r="S105" s="433"/>
      <c r="T105" s="433"/>
      <c r="U105" s="433"/>
      <c r="V105" s="433"/>
      <c r="W105" s="433"/>
      <c r="X105" s="433"/>
      <c r="Y105" s="433"/>
      <c r="Z105" s="433"/>
      <c r="AA105" s="433"/>
    </row>
    <row r="106" spans="1:27" s="491" customFormat="1" ht="14.6" x14ac:dyDescent="0.4">
      <c r="A106" s="434"/>
      <c r="B106" s="438" t="str">
        <f t="shared" si="31"/>
        <v>6160-15</v>
      </c>
      <c r="C106" s="630" t="s">
        <v>229</v>
      </c>
      <c r="D106" s="435"/>
      <c r="E106" s="435"/>
      <c r="F106" s="436"/>
      <c r="G106" s="629">
        <v>450</v>
      </c>
      <c r="H106" s="486">
        <f t="shared" si="30"/>
        <v>0</v>
      </c>
      <c r="I106" s="90">
        <f t="shared" ca="1" si="33"/>
        <v>0</v>
      </c>
      <c r="J106" s="90">
        <f t="shared" ca="1" si="34"/>
        <v>0</v>
      </c>
      <c r="K106" s="437">
        <v>2700</v>
      </c>
      <c r="L106" s="433"/>
      <c r="M106" s="489"/>
      <c r="N106" s="442"/>
      <c r="O106" s="490"/>
      <c r="P106" s="433"/>
      <c r="Q106" s="433"/>
      <c r="R106" s="433"/>
      <c r="S106" s="433"/>
      <c r="T106" s="433"/>
      <c r="U106" s="433"/>
      <c r="V106" s="433"/>
      <c r="W106" s="433"/>
      <c r="X106" s="433"/>
      <c r="Y106" s="433"/>
      <c r="Z106" s="433"/>
      <c r="AA106" s="433"/>
    </row>
    <row r="107" spans="1:27" s="491" customFormat="1" ht="14.6" x14ac:dyDescent="0.4">
      <c r="A107" s="446"/>
      <c r="B107" s="446" t="str">
        <f t="shared" si="31"/>
        <v>6160-16</v>
      </c>
      <c r="C107" s="418" t="s">
        <v>230</v>
      </c>
      <c r="D107" s="447"/>
      <c r="E107" s="448">
        <v>30</v>
      </c>
      <c r="F107" s="448"/>
      <c r="G107" s="460">
        <v>7</v>
      </c>
      <c r="H107" s="382">
        <f t="shared" si="30"/>
        <v>210</v>
      </c>
      <c r="I107" s="417">
        <f t="shared" ca="1" si="33"/>
        <v>-73.63</v>
      </c>
      <c r="J107" s="417">
        <f t="shared" ca="1" si="34"/>
        <v>136.37</v>
      </c>
      <c r="K107" s="449">
        <v>245</v>
      </c>
      <c r="L107" s="433"/>
      <c r="M107" s="489"/>
      <c r="N107" s="442"/>
      <c r="O107" s="490"/>
      <c r="P107" s="433"/>
      <c r="Q107" s="433"/>
      <c r="R107" s="433"/>
      <c r="S107" s="433"/>
      <c r="T107" s="433"/>
      <c r="U107" s="433"/>
      <c r="V107" s="433"/>
      <c r="W107" s="433"/>
      <c r="X107" s="433"/>
      <c r="Y107" s="433"/>
      <c r="Z107" s="433"/>
      <c r="AA107" s="433"/>
    </row>
    <row r="108" spans="1:27" s="491" customFormat="1" ht="14.6" x14ac:dyDescent="0.4">
      <c r="A108" s="434"/>
      <c r="B108" s="438" t="str">
        <f t="shared" si="31"/>
        <v>6160-17</v>
      </c>
      <c r="C108" s="408" t="s">
        <v>231</v>
      </c>
      <c r="D108" s="445"/>
      <c r="E108" s="631">
        <v>1</v>
      </c>
      <c r="F108" s="445"/>
      <c r="G108" s="461">
        <v>1000</v>
      </c>
      <c r="H108" s="389">
        <f t="shared" si="30"/>
        <v>1000</v>
      </c>
      <c r="I108" s="90">
        <f t="shared" ca="1" si="33"/>
        <v>-31.59</v>
      </c>
      <c r="J108" s="90">
        <f t="shared" ca="1" si="34"/>
        <v>968.41</v>
      </c>
      <c r="K108" s="437">
        <v>1000</v>
      </c>
      <c r="L108" s="433"/>
      <c r="M108" s="489"/>
      <c r="N108" s="442"/>
      <c r="O108" s="490"/>
      <c r="P108" s="433"/>
      <c r="Q108" s="433"/>
      <c r="R108" s="433"/>
      <c r="S108" s="433"/>
      <c r="T108" s="433"/>
      <c r="U108" s="433"/>
      <c r="V108" s="433"/>
      <c r="W108" s="433"/>
      <c r="X108" s="433"/>
      <c r="Y108" s="433"/>
      <c r="Z108" s="433"/>
      <c r="AA108" s="433"/>
    </row>
    <row r="109" spans="1:27" thickBot="1" x14ac:dyDescent="0.45">
      <c r="A109" s="131"/>
      <c r="B109" s="832"/>
      <c r="C109" s="217" t="s">
        <v>71</v>
      </c>
      <c r="D109" s="218"/>
      <c r="E109" s="218"/>
      <c r="F109" s="49"/>
      <c r="G109" s="424">
        <f>SUM('3% Overview'!K13)</f>
        <v>-0.22702702702702704</v>
      </c>
      <c r="H109" s="423">
        <f>SUM(H92:H108)</f>
        <v>14265</v>
      </c>
      <c r="I109" s="423">
        <f t="shared" ref="I109:J109" ca="1" si="35">SUM(I92:I108)</f>
        <v>-2922.4700000000007</v>
      </c>
      <c r="J109" s="423">
        <f t="shared" ca="1" si="35"/>
        <v>11342.53</v>
      </c>
      <c r="K109" s="288">
        <f>SUM(K92:K108)</f>
        <v>18465</v>
      </c>
      <c r="L109" s="3"/>
      <c r="M109" s="3"/>
      <c r="N109" s="296"/>
      <c r="O109" s="82"/>
    </row>
    <row r="110" spans="1:27" ht="9.75" customHeight="1" thickTop="1" x14ac:dyDescent="0.4">
      <c r="A110" s="131"/>
      <c r="B110" s="438"/>
      <c r="C110" s="221"/>
      <c r="D110" s="222"/>
      <c r="E110" s="222"/>
      <c r="F110" s="222"/>
      <c r="G110" s="143"/>
      <c r="H110" s="476"/>
      <c r="I110" s="96"/>
      <c r="J110" s="96"/>
      <c r="K110" s="96"/>
      <c r="L110" s="3"/>
      <c r="M110" s="3"/>
      <c r="N110" s="3"/>
      <c r="O110" s="82"/>
    </row>
    <row r="111" spans="1:27" ht="19.5" customHeight="1" x14ac:dyDescent="0.5">
      <c r="A111" s="897" t="s">
        <v>234</v>
      </c>
      <c r="B111" s="900"/>
      <c r="C111" s="898"/>
      <c r="D111" s="898"/>
      <c r="E111" s="898"/>
      <c r="F111" s="898"/>
      <c r="G111" s="898"/>
      <c r="H111" s="898"/>
      <c r="I111" s="898" t="e">
        <f t="shared" ref="I111" ca="1" si="36">-(SUMIF(INDIRECT(LEFT($A$100,4)&amp;"!E3:E200"),"="&amp;B111&amp;" *",INDIRECT(LEFT($A$100,4)&amp;"!F3:F200")))</f>
        <v>#REF!</v>
      </c>
      <c r="J111" s="898" t="e">
        <f t="shared" ref="J111:J112" ca="1" si="37">SUM(H111:I111)</f>
        <v>#REF!</v>
      </c>
      <c r="K111" s="899"/>
      <c r="L111" s="3"/>
      <c r="M111" s="17"/>
      <c r="N111" s="3"/>
      <c r="O111" s="82"/>
    </row>
    <row r="112" spans="1:27" ht="14.6" x14ac:dyDescent="0.4">
      <c r="A112" s="302" t="s">
        <v>535</v>
      </c>
      <c r="B112" s="844" t="str">
        <f>LEFT($A111,4)&amp;"-1"</f>
        <v>6210-1</v>
      </c>
      <c r="C112" s="568" t="s">
        <v>266</v>
      </c>
      <c r="D112" s="304">
        <v>1</v>
      </c>
      <c r="E112" s="133"/>
      <c r="F112" s="287"/>
      <c r="G112" s="102">
        <v>4000</v>
      </c>
      <c r="H112" s="376">
        <f>SUM((D112+E112+F112)*G112)</f>
        <v>4000</v>
      </c>
      <c r="I112" s="90">
        <f ca="1">-(SUMIF(INDIRECT(LEFT($A$111,4)&amp;"!E3:E500"),"="&amp;B112&amp;" *",INDIRECT(LEFT($A$111,4)&amp;"!F3:F500")))</f>
        <v>0</v>
      </c>
      <c r="J112" s="90">
        <f t="shared" ca="1" si="37"/>
        <v>4000</v>
      </c>
      <c r="K112" s="137"/>
      <c r="L112" s="3"/>
      <c r="M112" s="247"/>
      <c r="N112" s="137"/>
      <c r="O112" s="82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4.6" x14ac:dyDescent="0.4">
      <c r="A113" s="451"/>
      <c r="B113" s="785" t="str">
        <f>LEFT($B112,4)&amp;"-"&amp;VALUE(MID($B112,FIND("-",$B112)+1,256))+1</f>
        <v>6210-2</v>
      </c>
      <c r="C113" s="639" t="s">
        <v>235</v>
      </c>
      <c r="D113" s="459"/>
      <c r="E113" s="640">
        <v>1</v>
      </c>
      <c r="F113" s="641"/>
      <c r="G113" s="642">
        <v>300</v>
      </c>
      <c r="H113" s="382">
        <f t="shared" ref="H113:H122" si="38">SUM((D113+E113+F113)*G113)</f>
        <v>300</v>
      </c>
      <c r="I113" s="417">
        <f ca="1">-(SUMIF(INDIRECT(LEFT($A$111,4)&amp;"!E3:E500"),"="&amp;B113&amp;" *",INDIRECT(LEFT($A$111,4)&amp;"!F3:F500")))</f>
        <v>-299.81</v>
      </c>
      <c r="J113" s="417">
        <f t="shared" ref="J113:J114" ca="1" si="39">SUM(H113:I113)</f>
        <v>0.18999999999999773</v>
      </c>
      <c r="K113" s="643">
        <v>300</v>
      </c>
      <c r="L113" s="3"/>
      <c r="M113" s="17"/>
      <c r="N113" s="137"/>
      <c r="O113" s="82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7" s="491" customFormat="1" ht="14.6" x14ac:dyDescent="0.4">
      <c r="A114" s="383"/>
      <c r="B114" s="438" t="str">
        <f>LEFT($B113,4)&amp;"-"&amp;VALUE(MID($B113,FIND("-",$B113)+1,256))+1</f>
        <v>6210-3</v>
      </c>
      <c r="C114" s="398" t="s">
        <v>236</v>
      </c>
      <c r="D114" s="440"/>
      <c r="E114" s="441"/>
      <c r="F114" s="441">
        <v>2</v>
      </c>
      <c r="G114" s="388">
        <v>360</v>
      </c>
      <c r="H114" s="389">
        <f t="shared" si="38"/>
        <v>720</v>
      </c>
      <c r="I114" s="390">
        <f ca="1">-(SUMIF(INDIRECT(LEFT($A$111,4)&amp;"!E3:E500"),"="&amp;B114&amp;" *",INDIRECT(LEFT($A$111,4)&amp;"!F3:F500")))</f>
        <v>-700</v>
      </c>
      <c r="J114" s="90">
        <f t="shared" ca="1" si="39"/>
        <v>20</v>
      </c>
      <c r="K114" s="442">
        <v>720</v>
      </c>
      <c r="L114" s="433"/>
      <c r="M114" s="489"/>
      <c r="N114" s="442"/>
      <c r="O114" s="490"/>
      <c r="P114" s="433"/>
      <c r="Q114" s="433"/>
      <c r="R114" s="433"/>
      <c r="S114" s="433"/>
      <c r="T114" s="433"/>
      <c r="U114" s="433"/>
      <c r="V114" s="433"/>
      <c r="W114" s="433"/>
      <c r="X114" s="433"/>
      <c r="Y114" s="433"/>
      <c r="Z114" s="433"/>
      <c r="AA114" s="433"/>
    </row>
    <row r="115" spans="1:27" s="491" customFormat="1" ht="14.6" x14ac:dyDescent="0.4">
      <c r="A115" s="561"/>
      <c r="B115" s="785" t="str">
        <f t="shared" ref="B115:B147" si="40">LEFT($B114,4)&amp;"-"&amp;VALUE(MID($B114,FIND("-",$B114)+1,256))+1</f>
        <v>6210-4</v>
      </c>
      <c r="C115" s="562" t="s">
        <v>237</v>
      </c>
      <c r="D115" s="452"/>
      <c r="E115" s="453"/>
      <c r="F115" s="453">
        <v>1</v>
      </c>
      <c r="G115" s="454">
        <v>4000</v>
      </c>
      <c r="H115" s="382">
        <f t="shared" si="38"/>
        <v>4000</v>
      </c>
      <c r="I115" s="417">
        <f t="shared" ref="I115:I147" ca="1" si="41">-(SUMIF(INDIRECT(LEFT($A$111,4)&amp;"!E3:E500"),"="&amp;B115&amp;" *",INDIRECT(LEFT($A$111,4)&amp;"!F3:F500")))</f>
        <v>-5242.34</v>
      </c>
      <c r="J115" s="417">
        <f t="shared" ref="J115:J147" ca="1" si="42">SUM(H115:I115)</f>
        <v>-1242.3400000000001</v>
      </c>
      <c r="K115" s="455">
        <v>4000</v>
      </c>
      <c r="L115" s="433"/>
      <c r="M115" s="489"/>
      <c r="N115" s="442"/>
      <c r="O115" s="490"/>
      <c r="P115" s="433"/>
      <c r="Q115" s="433"/>
      <c r="R115" s="433"/>
      <c r="S115" s="433"/>
      <c r="T115" s="433"/>
      <c r="U115" s="433"/>
      <c r="V115" s="433"/>
      <c r="W115" s="433"/>
      <c r="X115" s="433"/>
      <c r="Y115" s="433"/>
    </row>
    <row r="116" spans="1:27" s="491" customFormat="1" ht="14.6" x14ac:dyDescent="0.4">
      <c r="A116" s="383" t="s">
        <v>238</v>
      </c>
      <c r="B116" s="438" t="str">
        <f t="shared" si="40"/>
        <v>6210-5</v>
      </c>
      <c r="C116" s="398" t="s">
        <v>239</v>
      </c>
      <c r="D116" s="441"/>
      <c r="E116" s="441">
        <v>2</v>
      </c>
      <c r="F116" s="441"/>
      <c r="G116" s="388">
        <v>3000</v>
      </c>
      <c r="H116" s="389">
        <f t="shared" si="38"/>
        <v>6000</v>
      </c>
      <c r="I116" s="390">
        <f t="shared" ca="1" si="41"/>
        <v>-3465.75</v>
      </c>
      <c r="J116" s="90">
        <f t="shared" ca="1" si="42"/>
        <v>2534.25</v>
      </c>
      <c r="K116" s="442">
        <v>4000</v>
      </c>
      <c r="L116" s="632"/>
      <c r="M116" s="489"/>
      <c r="N116" s="442"/>
      <c r="O116" s="490"/>
    </row>
    <row r="117" spans="1:27" s="491" customFormat="1" ht="14.6" x14ac:dyDescent="0.4">
      <c r="A117" s="561"/>
      <c r="B117" s="785" t="str">
        <f t="shared" si="40"/>
        <v>6210-6</v>
      </c>
      <c r="C117" s="562" t="s">
        <v>240</v>
      </c>
      <c r="D117" s="453"/>
      <c r="E117" s="453"/>
      <c r="F117" s="453"/>
      <c r="G117" s="454">
        <v>2000</v>
      </c>
      <c r="H117" s="382">
        <f t="shared" si="38"/>
        <v>0</v>
      </c>
      <c r="I117" s="417">
        <f t="shared" ca="1" si="41"/>
        <v>0</v>
      </c>
      <c r="J117" s="417">
        <f t="shared" ca="1" si="42"/>
        <v>0</v>
      </c>
      <c r="K117" s="455">
        <v>0</v>
      </c>
      <c r="L117" s="433"/>
      <c r="M117" s="489"/>
      <c r="N117" s="442"/>
      <c r="O117" s="490"/>
    </row>
    <row r="118" spans="1:27" s="491" customFormat="1" ht="14.6" x14ac:dyDescent="0.4">
      <c r="A118" s="383" t="s">
        <v>238</v>
      </c>
      <c r="B118" s="438" t="str">
        <f t="shared" si="40"/>
        <v>6210-7</v>
      </c>
      <c r="C118" s="391" t="s">
        <v>241</v>
      </c>
      <c r="D118" s="592">
        <v>2</v>
      </c>
      <c r="E118" s="593">
        <v>2</v>
      </c>
      <c r="F118" s="594"/>
      <c r="G118" s="388">
        <v>1500</v>
      </c>
      <c r="H118" s="389">
        <f t="shared" si="38"/>
        <v>6000</v>
      </c>
      <c r="I118" s="390">
        <f t="shared" ca="1" si="41"/>
        <v>-7431.5099999999993</v>
      </c>
      <c r="J118" s="90">
        <f t="shared" ca="1" si="42"/>
        <v>-1431.5099999999993</v>
      </c>
      <c r="K118" s="442">
        <v>4000</v>
      </c>
      <c r="L118" s="632"/>
      <c r="M118" s="489"/>
      <c r="N118" s="442"/>
      <c r="O118" s="490"/>
    </row>
    <row r="119" spans="1:27" s="491" customFormat="1" ht="14.6" x14ac:dyDescent="0.4">
      <c r="A119" s="561"/>
      <c r="B119" s="785" t="str">
        <f t="shared" si="40"/>
        <v>6210-8</v>
      </c>
      <c r="C119" s="575" t="s">
        <v>242</v>
      </c>
      <c r="D119" s="456"/>
      <c r="E119" s="456"/>
      <c r="F119" s="456">
        <v>3</v>
      </c>
      <c r="G119" s="454">
        <v>1000</v>
      </c>
      <c r="H119" s="382">
        <f t="shared" si="38"/>
        <v>3000</v>
      </c>
      <c r="I119" s="417">
        <f t="shared" ca="1" si="41"/>
        <v>-8533.25</v>
      </c>
      <c r="J119" s="417">
        <f t="shared" ca="1" si="42"/>
        <v>-5533.25</v>
      </c>
      <c r="K119" s="455">
        <v>3000</v>
      </c>
      <c r="L119" s="433"/>
      <c r="M119" s="489"/>
      <c r="N119" s="442"/>
      <c r="O119" s="490"/>
    </row>
    <row r="120" spans="1:27" s="491" customFormat="1" ht="14.6" x14ac:dyDescent="0.4">
      <c r="A120" s="438"/>
      <c r="B120" s="438" t="str">
        <f t="shared" si="40"/>
        <v>6210-9</v>
      </c>
      <c r="C120" s="398" t="s">
        <v>243</v>
      </c>
      <c r="D120" s="564"/>
      <c r="E120" s="441"/>
      <c r="F120" s="564">
        <v>1</v>
      </c>
      <c r="G120" s="388">
        <v>4000</v>
      </c>
      <c r="H120" s="389">
        <f t="shared" si="38"/>
        <v>4000</v>
      </c>
      <c r="I120" s="390">
        <f t="shared" ca="1" si="41"/>
        <v>-4825.25</v>
      </c>
      <c r="J120" s="90">
        <f t="shared" ca="1" si="42"/>
        <v>-825.25</v>
      </c>
      <c r="K120" s="442">
        <v>4000</v>
      </c>
      <c r="L120" s="433"/>
      <c r="M120" s="489"/>
      <c r="N120" s="442"/>
      <c r="O120" s="490"/>
    </row>
    <row r="121" spans="1:27" s="491" customFormat="1" ht="14.6" x14ac:dyDescent="0.4">
      <c r="A121" s="451"/>
      <c r="B121" s="785" t="str">
        <f t="shared" si="40"/>
        <v>6210-10</v>
      </c>
      <c r="C121" s="514" t="s">
        <v>534</v>
      </c>
      <c r="D121" s="600">
        <v>1</v>
      </c>
      <c r="E121" s="456"/>
      <c r="F121" s="515">
        <v>2</v>
      </c>
      <c r="G121" s="454">
        <v>1800</v>
      </c>
      <c r="H121" s="382">
        <f t="shared" si="38"/>
        <v>5400</v>
      </c>
      <c r="I121" s="417">
        <f t="shared" ca="1" si="41"/>
        <v>-4821.74</v>
      </c>
      <c r="J121" s="417">
        <f t="shared" ca="1" si="42"/>
        <v>578.26000000000022</v>
      </c>
      <c r="K121" s="455">
        <v>5400</v>
      </c>
      <c r="L121" s="433"/>
      <c r="M121" s="489"/>
      <c r="N121" s="442"/>
      <c r="O121" s="490"/>
    </row>
    <row r="122" spans="1:27" s="491" customFormat="1" ht="14.6" x14ac:dyDescent="0.4">
      <c r="A122" s="595"/>
      <c r="B122" s="438" t="str">
        <f t="shared" si="40"/>
        <v>6210-11</v>
      </c>
      <c r="C122" s="384" t="s">
        <v>244</v>
      </c>
      <c r="D122" s="564"/>
      <c r="E122" s="441"/>
      <c r="F122" s="564"/>
      <c r="G122" s="388">
        <v>1500</v>
      </c>
      <c r="H122" s="389">
        <f t="shared" si="38"/>
        <v>0</v>
      </c>
      <c r="I122" s="390">
        <f t="shared" ca="1" si="41"/>
        <v>-4423.87</v>
      </c>
      <c r="J122" s="90">
        <f t="shared" ca="1" si="42"/>
        <v>-4423.87</v>
      </c>
      <c r="K122" s="442">
        <v>0</v>
      </c>
      <c r="L122" s="433"/>
      <c r="M122" s="489"/>
      <c r="N122" s="442"/>
      <c r="O122" s="490"/>
    </row>
    <row r="123" spans="1:27" s="491" customFormat="1" ht="15" customHeight="1" x14ac:dyDescent="0.4">
      <c r="A123" s="644" t="s">
        <v>519</v>
      </c>
      <c r="B123" s="785" t="str">
        <f t="shared" si="40"/>
        <v>6210-12</v>
      </c>
      <c r="C123" s="514" t="s">
        <v>463</v>
      </c>
      <c r="D123" s="515">
        <v>7</v>
      </c>
      <c r="E123" s="456">
        <v>3</v>
      </c>
      <c r="F123" s="515">
        <v>2</v>
      </c>
      <c r="G123" s="454">
        <v>210</v>
      </c>
      <c r="H123" s="382">
        <f>SUM((D123+E123+F123)*G123)+(160*3)+(240*3)+(80*3)+(50*6)</f>
        <v>4260</v>
      </c>
      <c r="I123" s="417">
        <f t="shared" ca="1" si="41"/>
        <v>-4350</v>
      </c>
      <c r="J123" s="417">
        <f t="shared" ca="1" si="42"/>
        <v>-90</v>
      </c>
      <c r="K123" s="455">
        <v>3000</v>
      </c>
      <c r="L123" s="433"/>
      <c r="M123" s="489"/>
      <c r="N123" s="442"/>
      <c r="O123" s="490"/>
    </row>
    <row r="124" spans="1:27" s="491" customFormat="1" ht="14.6" x14ac:dyDescent="0.4">
      <c r="A124" s="438"/>
      <c r="B124" s="438" t="str">
        <f t="shared" si="40"/>
        <v>6210-13</v>
      </c>
      <c r="C124" s="633" t="s">
        <v>245</v>
      </c>
      <c r="D124" s="596">
        <v>8</v>
      </c>
      <c r="E124" s="500"/>
      <c r="F124" s="500"/>
      <c r="G124" s="388">
        <v>600</v>
      </c>
      <c r="H124" s="389">
        <f t="shared" ref="H124:H129" si="43">SUM((D124+E124+F124)*G124)</f>
        <v>4800</v>
      </c>
      <c r="I124" s="390">
        <f t="shared" ca="1" si="41"/>
        <v>-3240.13</v>
      </c>
      <c r="J124" s="90">
        <f t="shared" ca="1" si="42"/>
        <v>1559.87</v>
      </c>
      <c r="K124" s="442">
        <v>2400</v>
      </c>
      <c r="L124" s="433"/>
      <c r="M124" s="489"/>
      <c r="N124" s="442"/>
      <c r="O124" s="490"/>
    </row>
    <row r="125" spans="1:27" s="491" customFormat="1" ht="30" customHeight="1" x14ac:dyDescent="0.4">
      <c r="A125" s="561" t="s">
        <v>464</v>
      </c>
      <c r="B125" s="785" t="str">
        <f t="shared" si="40"/>
        <v>6210-14</v>
      </c>
      <c r="C125" s="562" t="s">
        <v>246</v>
      </c>
      <c r="D125" s="645"/>
      <c r="E125" s="453"/>
      <c r="F125" s="453"/>
      <c r="G125" s="454">
        <v>275</v>
      </c>
      <c r="H125" s="382">
        <f t="shared" si="43"/>
        <v>0</v>
      </c>
      <c r="I125" s="417">
        <f t="shared" ca="1" si="41"/>
        <v>-1050</v>
      </c>
      <c r="J125" s="417">
        <f t="shared" ca="1" si="42"/>
        <v>-1050</v>
      </c>
      <c r="K125" s="455">
        <v>0</v>
      </c>
      <c r="L125" s="433"/>
      <c r="M125" s="489"/>
      <c r="N125" s="442"/>
      <c r="O125" s="490"/>
      <c r="P125" s="433"/>
      <c r="Q125" s="433"/>
      <c r="R125" s="433"/>
      <c r="S125" s="433"/>
      <c r="T125" s="433"/>
      <c r="U125" s="433"/>
      <c r="V125" s="433"/>
      <c r="W125" s="433"/>
      <c r="X125" s="433"/>
      <c r="Y125" s="433"/>
    </row>
    <row r="126" spans="1:27" s="491" customFormat="1" ht="14.6" x14ac:dyDescent="0.4">
      <c r="A126" s="383"/>
      <c r="B126" s="438" t="str">
        <f t="shared" si="40"/>
        <v>6210-15</v>
      </c>
      <c r="C126" s="398" t="s">
        <v>247</v>
      </c>
      <c r="D126" s="441"/>
      <c r="E126" s="441">
        <v>2</v>
      </c>
      <c r="F126" s="441"/>
      <c r="G126" s="388">
        <v>2800</v>
      </c>
      <c r="H126" s="389">
        <f t="shared" si="43"/>
        <v>5600</v>
      </c>
      <c r="I126" s="390">
        <f t="shared" ca="1" si="41"/>
        <v>0</v>
      </c>
      <c r="J126" s="90">
        <f t="shared" ca="1" si="42"/>
        <v>5600</v>
      </c>
      <c r="K126" s="442">
        <v>5600</v>
      </c>
      <c r="L126" s="632"/>
      <c r="M126" s="489"/>
      <c r="N126" s="442"/>
      <c r="O126" s="490"/>
      <c r="P126" s="433"/>
      <c r="Q126" s="433"/>
      <c r="R126" s="433"/>
      <c r="S126" s="433"/>
      <c r="T126" s="433"/>
      <c r="U126" s="433"/>
      <c r="V126" s="433"/>
      <c r="W126" s="433"/>
      <c r="X126" s="433"/>
      <c r="Y126" s="433"/>
    </row>
    <row r="127" spans="1:27" s="491" customFormat="1" ht="14.6" x14ac:dyDescent="0.4">
      <c r="A127" s="451"/>
      <c r="B127" s="785" t="str">
        <f t="shared" si="40"/>
        <v>6210-16</v>
      </c>
      <c r="C127" s="562" t="s">
        <v>248</v>
      </c>
      <c r="D127" s="641">
        <v>5</v>
      </c>
      <c r="E127" s="453"/>
      <c r="F127" s="459"/>
      <c r="G127" s="454">
        <v>100</v>
      </c>
      <c r="H127" s="382">
        <f t="shared" si="43"/>
        <v>500</v>
      </c>
      <c r="I127" s="417">
        <f t="shared" ca="1" si="41"/>
        <v>0</v>
      </c>
      <c r="J127" s="417">
        <f t="shared" ca="1" si="42"/>
        <v>500</v>
      </c>
      <c r="K127" s="455">
        <v>500</v>
      </c>
      <c r="L127" s="433"/>
      <c r="M127" s="489"/>
      <c r="N127" s="442"/>
      <c r="O127" s="490"/>
    </row>
    <row r="128" spans="1:27" s="491" customFormat="1" ht="14.6" x14ac:dyDescent="0.4">
      <c r="A128" s="392"/>
      <c r="B128" s="438" t="str">
        <f t="shared" si="40"/>
        <v>6210-17</v>
      </c>
      <c r="C128" s="598" t="s">
        <v>249</v>
      </c>
      <c r="D128" s="444"/>
      <c r="E128" s="444">
        <v>3</v>
      </c>
      <c r="F128" s="599"/>
      <c r="G128" s="401">
        <v>2800</v>
      </c>
      <c r="H128" s="389">
        <f t="shared" si="43"/>
        <v>8400</v>
      </c>
      <c r="I128" s="390">
        <f t="shared" ca="1" si="41"/>
        <v>-4333.51</v>
      </c>
      <c r="J128" s="90">
        <f t="shared" ca="1" si="42"/>
        <v>4066.49</v>
      </c>
      <c r="K128" s="437">
        <v>8400</v>
      </c>
      <c r="L128" s="433"/>
      <c r="M128" s="489"/>
      <c r="N128" s="442"/>
      <c r="O128" s="490"/>
    </row>
    <row r="129" spans="1:27" s="491" customFormat="1" ht="14.6" x14ac:dyDescent="0.4">
      <c r="A129" s="412"/>
      <c r="B129" s="785" t="str">
        <f t="shared" si="40"/>
        <v>6210-18</v>
      </c>
      <c r="C129" s="646" t="s">
        <v>512</v>
      </c>
      <c r="D129" s="473"/>
      <c r="E129" s="473"/>
      <c r="F129" s="456">
        <v>1</v>
      </c>
      <c r="G129" s="421">
        <v>1000</v>
      </c>
      <c r="H129" s="382">
        <f t="shared" si="43"/>
        <v>1000</v>
      </c>
      <c r="I129" s="417">
        <f t="shared" ca="1" si="41"/>
        <v>-1409.93</v>
      </c>
      <c r="J129" s="417">
        <f t="shared" ca="1" si="42"/>
        <v>-409.93000000000006</v>
      </c>
      <c r="K129" s="449"/>
      <c r="L129" s="433"/>
      <c r="M129" s="489"/>
      <c r="N129" s="442"/>
      <c r="O129" s="490"/>
      <c r="P129" s="433"/>
      <c r="Q129" s="433"/>
      <c r="R129" s="433"/>
      <c r="S129" s="433"/>
      <c r="T129" s="433"/>
      <c r="U129" s="433"/>
      <c r="V129" s="433"/>
      <c r="W129" s="433"/>
      <c r="X129" s="433"/>
      <c r="Y129" s="433"/>
      <c r="Z129" s="433"/>
      <c r="AA129" s="433"/>
    </row>
    <row r="130" spans="1:27" s="491" customFormat="1" ht="14.6" x14ac:dyDescent="0.4">
      <c r="A130" s="392"/>
      <c r="B130" s="438" t="str">
        <f t="shared" si="40"/>
        <v>6210-19</v>
      </c>
      <c r="C130" s="598" t="s">
        <v>250</v>
      </c>
      <c r="D130" s="444"/>
      <c r="E130" s="634"/>
      <c r="F130" s="435">
        <v>1</v>
      </c>
      <c r="G130" s="401">
        <v>500</v>
      </c>
      <c r="H130" s="389">
        <f t="shared" ref="H130:H140" si="44">SUM((D130+E130+F130)*G130)</f>
        <v>500</v>
      </c>
      <c r="I130" s="390">
        <f t="shared" ca="1" si="41"/>
        <v>-958.06999999999994</v>
      </c>
      <c r="J130" s="90">
        <f t="shared" ca="1" si="42"/>
        <v>-458.06999999999994</v>
      </c>
      <c r="K130" s="437">
        <v>500</v>
      </c>
      <c r="L130" s="433"/>
      <c r="M130" s="489"/>
      <c r="N130" s="442"/>
      <c r="O130" s="490"/>
      <c r="P130" s="433"/>
      <c r="Q130" s="433"/>
      <c r="R130" s="433"/>
      <c r="S130" s="433"/>
      <c r="T130" s="433"/>
      <c r="U130" s="433"/>
      <c r="V130" s="433"/>
      <c r="W130" s="433"/>
      <c r="X130" s="433"/>
      <c r="Y130" s="433"/>
      <c r="Z130" s="433"/>
      <c r="AA130" s="433"/>
    </row>
    <row r="131" spans="1:27" s="491" customFormat="1" ht="14.6" x14ac:dyDescent="0.4">
      <c r="A131" s="412"/>
      <c r="B131" s="785" t="str">
        <f t="shared" si="40"/>
        <v>6210-20</v>
      </c>
      <c r="C131" s="418" t="s">
        <v>251</v>
      </c>
      <c r="D131" s="448"/>
      <c r="E131" s="448"/>
      <c r="F131" s="448">
        <v>1</v>
      </c>
      <c r="G131" s="421">
        <v>2000</v>
      </c>
      <c r="H131" s="382">
        <f t="shared" si="44"/>
        <v>2000</v>
      </c>
      <c r="I131" s="417">
        <f t="shared" ca="1" si="41"/>
        <v>-5422.97</v>
      </c>
      <c r="J131" s="417">
        <f t="shared" ca="1" si="42"/>
        <v>-3422.9700000000003</v>
      </c>
      <c r="K131" s="449">
        <v>2000</v>
      </c>
      <c r="L131" s="433"/>
      <c r="M131" s="489"/>
      <c r="N131" s="442"/>
      <c r="O131" s="490"/>
      <c r="P131" s="433"/>
      <c r="Q131" s="433"/>
      <c r="R131" s="433"/>
      <c r="S131" s="433"/>
      <c r="T131" s="433"/>
      <c r="U131" s="433"/>
      <c r="V131" s="433"/>
      <c r="W131" s="433"/>
      <c r="X131" s="433"/>
      <c r="Y131" s="433"/>
      <c r="Z131" s="433"/>
      <c r="AA131" s="433"/>
    </row>
    <row r="132" spans="1:27" s="491" customFormat="1" ht="14.6" x14ac:dyDescent="0.4">
      <c r="A132" s="434"/>
      <c r="B132" s="438" t="str">
        <f t="shared" si="40"/>
        <v>6210-21</v>
      </c>
      <c r="C132" s="393" t="s">
        <v>252</v>
      </c>
      <c r="D132" s="445"/>
      <c r="E132" s="444"/>
      <c r="F132" s="445">
        <v>1</v>
      </c>
      <c r="G132" s="401">
        <v>110</v>
      </c>
      <c r="H132" s="389">
        <f t="shared" si="44"/>
        <v>110</v>
      </c>
      <c r="I132" s="390">
        <f t="shared" ca="1" si="41"/>
        <v>-205.5</v>
      </c>
      <c r="J132" s="90">
        <f t="shared" ca="1" si="42"/>
        <v>-95.5</v>
      </c>
      <c r="K132" s="437">
        <v>407</v>
      </c>
      <c r="L132" s="433"/>
      <c r="M132" s="489"/>
      <c r="N132" s="442"/>
      <c r="O132" s="490"/>
      <c r="P132" s="433"/>
      <c r="Q132" s="433"/>
      <c r="R132" s="433"/>
      <c r="S132" s="433"/>
      <c r="T132" s="433"/>
      <c r="U132" s="433"/>
      <c r="V132" s="433"/>
      <c r="W132" s="433"/>
      <c r="X132" s="433"/>
      <c r="Y132" s="433"/>
      <c r="Z132" s="433"/>
      <c r="AA132" s="433"/>
    </row>
    <row r="133" spans="1:27" s="491" customFormat="1" ht="14.6" x14ac:dyDescent="0.4">
      <c r="A133" s="446"/>
      <c r="B133" s="785" t="str">
        <f t="shared" si="40"/>
        <v>6210-22</v>
      </c>
      <c r="C133" s="413" t="s">
        <v>253</v>
      </c>
      <c r="D133" s="474">
        <v>4</v>
      </c>
      <c r="E133" s="473">
        <v>2</v>
      </c>
      <c r="F133" s="474">
        <v>4</v>
      </c>
      <c r="G133" s="421">
        <v>205</v>
      </c>
      <c r="H133" s="382">
        <f t="shared" si="44"/>
        <v>2050</v>
      </c>
      <c r="I133" s="417">
        <f t="shared" ca="1" si="41"/>
        <v>-2700</v>
      </c>
      <c r="J133" s="417">
        <f t="shared" ca="1" si="42"/>
        <v>-650</v>
      </c>
      <c r="K133" s="449">
        <v>2255</v>
      </c>
      <c r="L133" s="433"/>
      <c r="M133" s="489"/>
      <c r="N133" s="442"/>
      <c r="O133" s="490"/>
      <c r="P133" s="433"/>
      <c r="Q133" s="433"/>
      <c r="R133" s="433"/>
      <c r="S133" s="433"/>
      <c r="T133" s="433"/>
      <c r="U133" s="433"/>
      <c r="V133" s="433"/>
      <c r="W133" s="433"/>
      <c r="X133" s="433"/>
      <c r="Y133" s="433"/>
      <c r="Z133" s="433"/>
      <c r="AA133" s="433"/>
    </row>
    <row r="134" spans="1:27" s="491" customFormat="1" ht="14.6" x14ac:dyDescent="0.4">
      <c r="A134" s="392" t="s">
        <v>254</v>
      </c>
      <c r="B134" s="438" t="str">
        <f t="shared" si="40"/>
        <v>6210-23</v>
      </c>
      <c r="C134" s="408" t="s">
        <v>255</v>
      </c>
      <c r="D134" s="445">
        <v>6</v>
      </c>
      <c r="E134" s="444">
        <v>2</v>
      </c>
      <c r="F134" s="445">
        <v>3</v>
      </c>
      <c r="G134" s="401">
        <v>500</v>
      </c>
      <c r="H134" s="389">
        <f t="shared" si="44"/>
        <v>5500</v>
      </c>
      <c r="I134" s="390">
        <f t="shared" ca="1" si="41"/>
        <v>-4619.34</v>
      </c>
      <c r="J134" s="90">
        <f t="shared" ca="1" si="42"/>
        <v>880.65999999999985</v>
      </c>
      <c r="K134" s="437">
        <v>10000</v>
      </c>
      <c r="L134" s="433"/>
      <c r="M134" s="489"/>
      <c r="N134" s="442"/>
      <c r="O134" s="490"/>
      <c r="P134" s="433"/>
      <c r="Q134" s="433"/>
      <c r="R134" s="433"/>
      <c r="S134" s="433"/>
      <c r="T134" s="433"/>
      <c r="U134" s="433"/>
      <c r="V134" s="433"/>
      <c r="W134" s="433"/>
      <c r="X134" s="433"/>
      <c r="Y134" s="433"/>
      <c r="Z134" s="433"/>
      <c r="AA134" s="433"/>
    </row>
    <row r="135" spans="1:27" s="491" customFormat="1" ht="14.6" x14ac:dyDescent="0.4">
      <c r="A135" s="601" t="s">
        <v>256</v>
      </c>
      <c r="B135" s="785" t="str">
        <f t="shared" si="40"/>
        <v>6210-24</v>
      </c>
      <c r="C135" s="505" t="s">
        <v>257</v>
      </c>
      <c r="D135" s="506">
        <v>5</v>
      </c>
      <c r="E135" s="448">
        <v>1</v>
      </c>
      <c r="F135" s="506">
        <v>2</v>
      </c>
      <c r="G135" s="421">
        <v>700</v>
      </c>
      <c r="H135" s="382">
        <f t="shared" si="44"/>
        <v>5600</v>
      </c>
      <c r="I135" s="417">
        <f t="shared" ca="1" si="41"/>
        <v>-4068.23</v>
      </c>
      <c r="J135" s="417">
        <f t="shared" ca="1" si="42"/>
        <v>1531.77</v>
      </c>
      <c r="K135" s="449">
        <v>0</v>
      </c>
      <c r="L135" s="433"/>
      <c r="M135" s="489"/>
      <c r="N135" s="442"/>
      <c r="O135" s="490"/>
      <c r="P135" s="433"/>
      <c r="Q135" s="433"/>
      <c r="R135" s="433"/>
      <c r="S135" s="433"/>
      <c r="T135" s="433"/>
      <c r="U135" s="433"/>
      <c r="V135" s="433"/>
      <c r="W135" s="433"/>
      <c r="X135" s="433"/>
      <c r="Y135" s="433"/>
      <c r="Z135" s="433"/>
      <c r="AA135" s="433"/>
    </row>
    <row r="136" spans="1:27" s="491" customFormat="1" ht="14.6" x14ac:dyDescent="0.4">
      <c r="A136" s="434"/>
      <c r="B136" s="438" t="str">
        <f t="shared" si="40"/>
        <v>6210-25</v>
      </c>
      <c r="C136" s="393" t="s">
        <v>258</v>
      </c>
      <c r="D136" s="597"/>
      <c r="E136" s="444"/>
      <c r="F136" s="444">
        <v>1</v>
      </c>
      <c r="G136" s="401">
        <v>2000</v>
      </c>
      <c r="H136" s="389">
        <f t="shared" si="44"/>
        <v>2000</v>
      </c>
      <c r="I136" s="390">
        <f t="shared" ca="1" si="41"/>
        <v>-2000</v>
      </c>
      <c r="J136" s="90">
        <f t="shared" ca="1" si="42"/>
        <v>0</v>
      </c>
      <c r="K136" s="437">
        <v>2000</v>
      </c>
      <c r="L136" s="433"/>
      <c r="M136" s="489"/>
      <c r="N136" s="442"/>
      <c r="O136" s="490"/>
      <c r="P136" s="433"/>
      <c r="Q136" s="433"/>
      <c r="R136" s="433"/>
      <c r="S136" s="433"/>
      <c r="T136" s="433"/>
      <c r="U136" s="433"/>
      <c r="V136" s="433"/>
      <c r="W136" s="433"/>
      <c r="X136" s="433"/>
      <c r="Y136" s="433"/>
      <c r="Z136" s="433"/>
      <c r="AA136" s="433"/>
    </row>
    <row r="137" spans="1:27" s="491" customFormat="1" ht="14.6" x14ac:dyDescent="0.4">
      <c r="A137" s="620" t="s">
        <v>497</v>
      </c>
      <c r="B137" s="785" t="str">
        <f t="shared" si="40"/>
        <v>6210-26</v>
      </c>
      <c r="C137" s="646" t="s">
        <v>496</v>
      </c>
      <c r="D137" s="473">
        <v>4</v>
      </c>
      <c r="E137" s="533"/>
      <c r="F137" s="534"/>
      <c r="G137" s="421">
        <v>500</v>
      </c>
      <c r="H137" s="382">
        <f t="shared" si="44"/>
        <v>2000</v>
      </c>
      <c r="I137" s="417">
        <f t="shared" ca="1" si="41"/>
        <v>-921.93</v>
      </c>
      <c r="J137" s="417">
        <f t="shared" ca="1" si="42"/>
        <v>1078.0700000000002</v>
      </c>
      <c r="K137" s="449">
        <v>200</v>
      </c>
      <c r="L137" s="433"/>
      <c r="M137" s="489"/>
      <c r="N137" s="442"/>
      <c r="O137" s="490"/>
      <c r="P137" s="433"/>
      <c r="Q137" s="433"/>
      <c r="R137" s="433"/>
      <c r="S137" s="433"/>
      <c r="T137" s="433"/>
      <c r="U137" s="433"/>
      <c r="V137" s="433"/>
      <c r="W137" s="433"/>
      <c r="X137" s="433"/>
      <c r="Y137" s="433"/>
      <c r="Z137" s="433"/>
      <c r="AA137" s="433"/>
    </row>
    <row r="138" spans="1:27" s="491" customFormat="1" ht="14.6" x14ac:dyDescent="0.4">
      <c r="A138" s="434"/>
      <c r="B138" s="438" t="str">
        <f t="shared" si="40"/>
        <v>6210-27</v>
      </c>
      <c r="C138" s="393" t="s">
        <v>259</v>
      </c>
      <c r="D138" s="444">
        <v>2</v>
      </c>
      <c r="E138" s="444"/>
      <c r="F138" s="444"/>
      <c r="G138" s="401">
        <v>700</v>
      </c>
      <c r="H138" s="389">
        <f t="shared" si="44"/>
        <v>1400</v>
      </c>
      <c r="I138" s="390">
        <f t="shared" ca="1" si="41"/>
        <v>0</v>
      </c>
      <c r="J138" s="90">
        <f t="shared" ca="1" si="42"/>
        <v>1400</v>
      </c>
      <c r="K138" s="437">
        <v>1400</v>
      </c>
      <c r="L138" s="433"/>
      <c r="M138" s="489"/>
      <c r="N138" s="442"/>
      <c r="O138" s="490"/>
      <c r="P138" s="433"/>
      <c r="Q138" s="433"/>
      <c r="R138" s="433"/>
      <c r="S138" s="433"/>
      <c r="T138" s="433"/>
      <c r="U138" s="433"/>
      <c r="V138" s="433"/>
      <c r="W138" s="433"/>
      <c r="X138" s="433"/>
      <c r="Y138" s="433"/>
      <c r="Z138" s="433"/>
      <c r="AA138" s="433"/>
    </row>
    <row r="139" spans="1:27" s="491" customFormat="1" ht="30" customHeight="1" x14ac:dyDescent="0.4">
      <c r="A139" s="446"/>
      <c r="B139" s="785" t="str">
        <f t="shared" si="40"/>
        <v>6210-28</v>
      </c>
      <c r="C139" s="509" t="s">
        <v>260</v>
      </c>
      <c r="D139" s="448">
        <v>40</v>
      </c>
      <c r="E139" s="448"/>
      <c r="F139" s="506"/>
      <c r="G139" s="421">
        <f>250+15</f>
        <v>265</v>
      </c>
      <c r="H139" s="382">
        <f t="shared" si="44"/>
        <v>10600</v>
      </c>
      <c r="I139" s="417">
        <f t="shared" ca="1" si="41"/>
        <v>-15777.449999999997</v>
      </c>
      <c r="J139" s="417">
        <f t="shared" ca="1" si="42"/>
        <v>-5177.4499999999971</v>
      </c>
      <c r="K139" s="449">
        <v>10070</v>
      </c>
      <c r="L139" s="433"/>
      <c r="M139" s="489"/>
      <c r="N139" s="442"/>
      <c r="O139" s="490"/>
      <c r="P139" s="433"/>
      <c r="Q139" s="433"/>
      <c r="R139" s="433"/>
      <c r="S139" s="433"/>
      <c r="T139" s="433"/>
      <c r="U139" s="433"/>
      <c r="V139" s="433"/>
      <c r="W139" s="433"/>
      <c r="X139" s="433"/>
      <c r="Y139" s="433"/>
      <c r="Z139" s="433"/>
      <c r="AA139" s="433"/>
    </row>
    <row r="140" spans="1:27" s="491" customFormat="1" ht="14.6" x14ac:dyDescent="0.4">
      <c r="A140" s="392"/>
      <c r="B140" s="438" t="str">
        <f t="shared" si="40"/>
        <v>6210-29</v>
      </c>
      <c r="C140" s="408" t="s">
        <v>261</v>
      </c>
      <c r="D140" s="591">
        <v>2</v>
      </c>
      <c r="E140" s="444"/>
      <c r="F140" s="591">
        <v>1</v>
      </c>
      <c r="G140" s="401">
        <v>1000</v>
      </c>
      <c r="H140" s="389">
        <f t="shared" si="44"/>
        <v>3000</v>
      </c>
      <c r="I140" s="390">
        <f t="shared" ca="1" si="41"/>
        <v>-1416.1</v>
      </c>
      <c r="J140" s="90">
        <f t="shared" ca="1" si="42"/>
        <v>1583.9</v>
      </c>
      <c r="K140" s="437">
        <v>3000</v>
      </c>
      <c r="L140" s="433"/>
      <c r="M140" s="489"/>
      <c r="N140" s="442"/>
      <c r="O140" s="490"/>
      <c r="P140" s="433"/>
      <c r="Q140" s="433"/>
      <c r="R140" s="433"/>
      <c r="S140" s="433"/>
      <c r="T140" s="433"/>
      <c r="U140" s="433"/>
      <c r="V140" s="433"/>
      <c r="W140" s="433"/>
      <c r="X140" s="433"/>
      <c r="Y140" s="433"/>
      <c r="Z140" s="433"/>
      <c r="AA140" s="433"/>
    </row>
    <row r="141" spans="1:27" s="491" customFormat="1" ht="14.6" x14ac:dyDescent="0.4">
      <c r="A141" s="446"/>
      <c r="B141" s="785" t="str">
        <f t="shared" si="40"/>
        <v>6210-30</v>
      </c>
      <c r="C141" s="614" t="s">
        <v>262</v>
      </c>
      <c r="D141" s="474">
        <v>7</v>
      </c>
      <c r="E141" s="473">
        <v>1</v>
      </c>
      <c r="F141" s="474">
        <v>2</v>
      </c>
      <c r="G141" s="421">
        <f>90</f>
        <v>90</v>
      </c>
      <c r="H141" s="382">
        <f>SUM((D141+E141+F141)*G141)+(10*5)</f>
        <v>950</v>
      </c>
      <c r="I141" s="417">
        <f t="shared" ca="1" si="41"/>
        <v>-1080</v>
      </c>
      <c r="J141" s="417">
        <f t="shared" ca="1" si="42"/>
        <v>-130</v>
      </c>
      <c r="K141" s="449">
        <v>500</v>
      </c>
      <c r="L141" s="433"/>
      <c r="M141" s="489"/>
      <c r="N141" s="442"/>
      <c r="O141" s="490"/>
      <c r="P141" s="433"/>
      <c r="Q141" s="433"/>
      <c r="R141" s="433"/>
      <c r="S141" s="433"/>
      <c r="T141" s="433"/>
      <c r="U141" s="433"/>
      <c r="V141" s="433"/>
      <c r="W141" s="433"/>
      <c r="X141" s="433"/>
      <c r="Y141" s="433"/>
      <c r="Z141" s="433"/>
      <c r="AA141" s="433"/>
    </row>
    <row r="142" spans="1:27" s="491" customFormat="1" ht="14.6" x14ac:dyDescent="0.4">
      <c r="A142" s="392"/>
      <c r="B142" s="438" t="str">
        <f t="shared" si="40"/>
        <v>6210-31</v>
      </c>
      <c r="C142" s="408" t="s">
        <v>263</v>
      </c>
      <c r="D142" s="444">
        <v>2</v>
      </c>
      <c r="E142" s="444"/>
      <c r="F142" s="444"/>
      <c r="G142" s="401">
        <v>1000</v>
      </c>
      <c r="H142" s="389">
        <f t="shared" ref="H142:H143" si="45">SUM((D142+E142+F142)*G142)</f>
        <v>2000</v>
      </c>
      <c r="I142" s="390">
        <f t="shared" ca="1" si="41"/>
        <v>-2298.35</v>
      </c>
      <c r="J142" s="90">
        <f t="shared" ca="1" si="42"/>
        <v>-298.34999999999991</v>
      </c>
      <c r="K142" s="437">
        <v>2250</v>
      </c>
      <c r="L142" s="433"/>
      <c r="M142" s="489"/>
      <c r="N142" s="442"/>
      <c r="O142" s="490"/>
      <c r="P142" s="433"/>
      <c r="Q142" s="433"/>
      <c r="R142" s="433"/>
      <c r="S142" s="433"/>
      <c r="T142" s="433"/>
      <c r="U142" s="433"/>
      <c r="V142" s="433"/>
      <c r="W142" s="433"/>
      <c r="X142" s="433"/>
      <c r="Y142" s="433"/>
      <c r="Z142" s="433"/>
      <c r="AA142" s="433"/>
    </row>
    <row r="143" spans="1:27" s="491" customFormat="1" ht="14.6" x14ac:dyDescent="0.4">
      <c r="A143" s="412"/>
      <c r="B143" s="785" t="str">
        <f t="shared" si="40"/>
        <v>6210-32</v>
      </c>
      <c r="C143" s="413" t="s">
        <v>264</v>
      </c>
      <c r="D143" s="510"/>
      <c r="E143" s="473"/>
      <c r="F143" s="473">
        <v>2</v>
      </c>
      <c r="G143" s="421">
        <v>350</v>
      </c>
      <c r="H143" s="382">
        <f t="shared" si="45"/>
        <v>700</v>
      </c>
      <c r="I143" s="417">
        <f t="shared" ca="1" si="41"/>
        <v>-621.20000000000005</v>
      </c>
      <c r="J143" s="417">
        <f t="shared" ca="1" si="42"/>
        <v>78.799999999999955</v>
      </c>
      <c r="K143" s="449">
        <v>700</v>
      </c>
      <c r="L143" s="433"/>
      <c r="M143" s="489"/>
      <c r="N143" s="442"/>
      <c r="O143" s="490"/>
      <c r="P143" s="433"/>
      <c r="Q143" s="433"/>
      <c r="R143" s="433"/>
      <c r="S143" s="433"/>
      <c r="T143" s="433"/>
      <c r="U143" s="433"/>
      <c r="V143" s="433"/>
      <c r="W143" s="433"/>
      <c r="X143" s="433"/>
      <c r="Y143" s="433"/>
      <c r="Z143" s="433"/>
      <c r="AA143" s="433"/>
    </row>
    <row r="144" spans="1:27" s="491" customFormat="1" ht="30" customHeight="1" x14ac:dyDescent="0.4">
      <c r="A144" s="434"/>
      <c r="B144" s="438" t="str">
        <f t="shared" si="40"/>
        <v>6210-33</v>
      </c>
      <c r="C144" s="408" t="s">
        <v>498</v>
      </c>
      <c r="D144" s="636">
        <v>35</v>
      </c>
      <c r="E144" s="636">
        <v>1</v>
      </c>
      <c r="F144" s="636">
        <v>2</v>
      </c>
      <c r="G144" s="637">
        <v>60</v>
      </c>
      <c r="H144" s="389">
        <f>SUM((D144+E144+F144)*G144)+(125*2)</f>
        <v>2530</v>
      </c>
      <c r="I144" s="390">
        <f t="shared" ca="1" si="41"/>
        <v>-2095</v>
      </c>
      <c r="J144" s="90">
        <f t="shared" ca="1" si="42"/>
        <v>435</v>
      </c>
      <c r="K144" s="638">
        <v>2500</v>
      </c>
      <c r="L144" s="433"/>
      <c r="M144" s="489"/>
      <c r="N144" s="442"/>
      <c r="O144" s="490"/>
      <c r="P144" s="433"/>
      <c r="Q144" s="433"/>
      <c r="R144" s="433"/>
      <c r="S144" s="433"/>
      <c r="T144" s="433"/>
      <c r="U144" s="433"/>
      <c r="V144" s="433"/>
      <c r="W144" s="433"/>
      <c r="X144" s="433"/>
      <c r="Y144" s="433"/>
      <c r="Z144" s="433"/>
      <c r="AA144" s="433"/>
    </row>
    <row r="145" spans="1:27" s="491" customFormat="1" ht="14.6" x14ac:dyDescent="0.4">
      <c r="A145" s="446"/>
      <c r="B145" s="785" t="str">
        <f t="shared" si="40"/>
        <v>6210-34</v>
      </c>
      <c r="C145" s="623" t="s">
        <v>520</v>
      </c>
      <c r="D145" s="647">
        <v>4</v>
      </c>
      <c r="E145" s="448"/>
      <c r="F145" s="506"/>
      <c r="G145" s="421">
        <v>450</v>
      </c>
      <c r="H145" s="382">
        <f t="shared" ref="H145:H146" si="46">SUM((D145+E145+F145)*G145)</f>
        <v>1800</v>
      </c>
      <c r="I145" s="417">
        <f t="shared" ca="1" si="41"/>
        <v>-1121</v>
      </c>
      <c r="J145" s="417">
        <f t="shared" ca="1" si="42"/>
        <v>679</v>
      </c>
      <c r="K145" s="449">
        <v>810</v>
      </c>
      <c r="L145" s="433"/>
      <c r="M145" s="489"/>
      <c r="N145" s="442"/>
      <c r="O145" s="490"/>
      <c r="P145" s="433"/>
      <c r="Q145" s="433"/>
      <c r="R145" s="433"/>
      <c r="S145" s="433"/>
      <c r="T145" s="433"/>
      <c r="U145" s="433"/>
      <c r="V145" s="433"/>
      <c r="W145" s="433"/>
      <c r="X145" s="433"/>
      <c r="Y145" s="433"/>
      <c r="Z145" s="433"/>
      <c r="AA145" s="433"/>
    </row>
    <row r="146" spans="1:27" s="491" customFormat="1" ht="14.6" x14ac:dyDescent="0.4">
      <c r="A146" s="392"/>
      <c r="B146" s="438" t="str">
        <f t="shared" si="40"/>
        <v>6210-35</v>
      </c>
      <c r="C146" s="393" t="s">
        <v>265</v>
      </c>
      <c r="D146" s="591">
        <v>1</v>
      </c>
      <c r="E146" s="444">
        <v>1</v>
      </c>
      <c r="F146" s="445">
        <v>2</v>
      </c>
      <c r="G146" s="401">
        <v>1500</v>
      </c>
      <c r="H146" s="389">
        <f t="shared" si="46"/>
        <v>6000</v>
      </c>
      <c r="I146" s="390">
        <f t="shared" ca="1" si="41"/>
        <v>-4882.3900000000012</v>
      </c>
      <c r="J146" s="90">
        <f t="shared" ca="1" si="42"/>
        <v>1117.6099999999988</v>
      </c>
      <c r="K146" s="437">
        <v>6000</v>
      </c>
      <c r="L146" s="433"/>
      <c r="M146" s="489"/>
      <c r="N146" s="442"/>
      <c r="O146" s="490"/>
      <c r="P146" s="433"/>
      <c r="Q146" s="433"/>
      <c r="R146" s="433"/>
      <c r="S146" s="433"/>
      <c r="T146" s="433"/>
      <c r="U146" s="433"/>
      <c r="V146" s="433"/>
      <c r="W146" s="433"/>
      <c r="X146" s="433"/>
      <c r="Y146" s="433"/>
      <c r="Z146" s="433"/>
      <c r="AA146" s="433"/>
    </row>
    <row r="147" spans="1:27" s="491" customFormat="1" ht="14.6" x14ac:dyDescent="0.4">
      <c r="A147" s="446"/>
      <c r="B147" s="785" t="str">
        <f t="shared" si="40"/>
        <v>6210-36</v>
      </c>
      <c r="C147" s="413" t="s">
        <v>267</v>
      </c>
      <c r="D147" s="472">
        <v>2</v>
      </c>
      <c r="E147" s="473"/>
      <c r="F147" s="474"/>
      <c r="G147" s="421">
        <v>75</v>
      </c>
      <c r="H147" s="382">
        <f>SUM((D147+E147+F147)*G147)</f>
        <v>150</v>
      </c>
      <c r="I147" s="417">
        <f t="shared" ca="1" si="41"/>
        <v>0</v>
      </c>
      <c r="J147" s="417">
        <f t="shared" ca="1" si="42"/>
        <v>150</v>
      </c>
      <c r="K147" s="449">
        <v>150</v>
      </c>
      <c r="L147" s="433"/>
      <c r="M147" s="489"/>
      <c r="N147" s="442"/>
      <c r="O147" s="490"/>
      <c r="P147" s="433"/>
      <c r="Q147" s="433"/>
      <c r="R147" s="433"/>
      <c r="S147" s="433"/>
      <c r="T147" s="433"/>
      <c r="U147" s="433"/>
      <c r="V147" s="433"/>
      <c r="W147" s="433"/>
      <c r="X147" s="433"/>
      <c r="Y147" s="433"/>
      <c r="Z147" s="433"/>
      <c r="AA147" s="433"/>
    </row>
    <row r="148" spans="1:27" thickBot="1" x14ac:dyDescent="0.45">
      <c r="A148" s="305"/>
      <c r="B148" s="832"/>
      <c r="C148" s="217" t="s">
        <v>268</v>
      </c>
      <c r="D148" s="218"/>
      <c r="E148" s="218"/>
      <c r="F148" s="49" t="s">
        <v>49</v>
      </c>
      <c r="G148" s="424">
        <f>SUM('3% Overview'!K14)</f>
        <v>0.18645948945615981</v>
      </c>
      <c r="H148" s="423">
        <f>SUM(H112:H147)</f>
        <v>106870</v>
      </c>
      <c r="I148" s="423">
        <f t="shared" ref="I148:J148" ca="1" si="47">SUM(I112:I147)</f>
        <v>-104314.62</v>
      </c>
      <c r="J148" s="423">
        <f t="shared" ca="1" si="47"/>
        <v>2555.3800000000028</v>
      </c>
      <c r="K148" s="288">
        <f>SUM(K113:K147)</f>
        <v>90062</v>
      </c>
      <c r="L148" s="3"/>
      <c r="M148" s="3"/>
      <c r="N148" s="137"/>
      <c r="O148" s="82"/>
    </row>
    <row r="149" spans="1:27" ht="10.5" customHeight="1" thickTop="1" x14ac:dyDescent="0.5">
      <c r="A149" s="306"/>
      <c r="B149" s="834"/>
      <c r="C149" s="306"/>
      <c r="D149" s="306"/>
      <c r="E149" s="306"/>
      <c r="F149" s="306"/>
      <c r="G149" s="306"/>
      <c r="H149" s="477"/>
      <c r="I149" s="848"/>
      <c r="J149" s="848"/>
      <c r="K149" s="306"/>
      <c r="L149" s="170"/>
      <c r="M149" s="3"/>
      <c r="N149" s="3"/>
      <c r="O149" s="82"/>
    </row>
    <row r="150" spans="1:27" ht="19.5" customHeight="1" x14ac:dyDescent="0.5">
      <c r="A150" s="897" t="s">
        <v>269</v>
      </c>
      <c r="B150" s="900"/>
      <c r="C150" s="898"/>
      <c r="D150" s="898"/>
      <c r="E150" s="898"/>
      <c r="F150" s="898"/>
      <c r="G150" s="898"/>
      <c r="H150" s="898"/>
      <c r="I150" s="898" t="e">
        <f t="shared" ref="I150:I159" ca="1" si="48">-(SUMIF(INDIRECT(LEFT($A$121,4)&amp;"!E3:E500"),"="&amp;B150&amp;" *",INDIRECT(LEFT($A$121,4)&amp;"!F3:F500")))</f>
        <v>#REF!</v>
      </c>
      <c r="J150" s="898" t="e">
        <f t="shared" ref="J150:J160" ca="1" si="49">SUM(H150:I150)</f>
        <v>#REF!</v>
      </c>
      <c r="K150" s="899"/>
      <c r="L150" s="3"/>
      <c r="M150" s="3"/>
      <c r="N150" s="3"/>
      <c r="O150" s="82"/>
    </row>
    <row r="151" spans="1:27" ht="14.6" x14ac:dyDescent="0.4">
      <c r="A151" s="566" t="s">
        <v>502</v>
      </c>
      <c r="B151" s="837" t="str">
        <f>LEFT($A150,4)&amp;"-1"</f>
        <v>6215-1</v>
      </c>
      <c r="C151" s="568" t="s">
        <v>503</v>
      </c>
      <c r="D151" s="285"/>
      <c r="E151" s="133">
        <v>12</v>
      </c>
      <c r="F151" s="133"/>
      <c r="G151" s="88">
        <v>250</v>
      </c>
      <c r="H151" s="376">
        <f t="shared" ref="H151:H156" si="50">((D151+E151+F151)*G151)</f>
        <v>3000</v>
      </c>
      <c r="I151" s="90">
        <f ca="1">-(SUMIF(INDIRECT(LEFT($A$150,4)&amp;"!E3:E500"),"="&amp;B151&amp;" *",INDIRECT(LEFT($A$150,4)&amp;"!F3:F500")))</f>
        <v>-879.21</v>
      </c>
      <c r="J151" s="90">
        <f t="shared" ca="1" si="49"/>
        <v>2120.79</v>
      </c>
      <c r="K151" s="90">
        <v>6000</v>
      </c>
      <c r="L151" s="3"/>
      <c r="M151" s="17"/>
      <c r="N151" s="137"/>
      <c r="O151" s="82"/>
    </row>
    <row r="152" spans="1:27" ht="14.6" x14ac:dyDescent="0.4">
      <c r="A152" s="273"/>
      <c r="B152" s="683" t="str">
        <f t="shared" ref="B152:B156" si="51">LEFT($B151,4)&amp;"-"&amp;VALUE(MID($B151,FIND("-",$B151)+1,256))+1</f>
        <v>6215-2</v>
      </c>
      <c r="C152" s="651" t="s">
        <v>560</v>
      </c>
      <c r="D152" s="292"/>
      <c r="E152" s="283">
        <v>12</v>
      </c>
      <c r="F152" s="283"/>
      <c r="G152" s="116">
        <v>418.7</v>
      </c>
      <c r="H152" s="380">
        <f t="shared" si="50"/>
        <v>5024.3999999999996</v>
      </c>
      <c r="I152" s="113">
        <f ca="1">-(SUMIF(INDIRECT(LEFT($A$150,4)&amp;"!E3:E500"),"="&amp;B152&amp;" *",INDIRECT(LEFT($A$150,4)&amp;"!F3:F500")))</f>
        <v>-4839.24</v>
      </c>
      <c r="J152" s="113">
        <f t="shared" ca="1" si="49"/>
        <v>185.15999999999985</v>
      </c>
      <c r="K152" s="113">
        <v>5024.3999999999996</v>
      </c>
      <c r="L152" s="3"/>
      <c r="M152" s="17"/>
      <c r="N152" s="137"/>
      <c r="O152" s="82"/>
    </row>
    <row r="153" spans="1:27" ht="14.6" x14ac:dyDescent="0.4">
      <c r="A153" s="171"/>
      <c r="B153" s="383" t="str">
        <f t="shared" si="51"/>
        <v>6215-3</v>
      </c>
      <c r="C153" s="227" t="s">
        <v>270</v>
      </c>
      <c r="D153" s="287"/>
      <c r="E153" s="133">
        <v>4</v>
      </c>
      <c r="F153" s="307"/>
      <c r="G153" s="88">
        <v>1168.6199999999999</v>
      </c>
      <c r="H153" s="376">
        <f t="shared" si="50"/>
        <v>4674.4799999999996</v>
      </c>
      <c r="I153" s="90">
        <f t="shared" ref="I153:I156" ca="1" si="52">-(SUMIF(INDIRECT(LEFT($A$150,4)&amp;"!E3:E500"),"="&amp;B153&amp;" *",INDIRECT(LEFT($A$150,4)&amp;"!F3:F500")))</f>
        <v>-5843.0999999999995</v>
      </c>
      <c r="J153" s="90">
        <f t="shared" ref="J153:J156" ca="1" si="53">SUM(H153:I153)</f>
        <v>-1168.6199999999999</v>
      </c>
      <c r="K153" s="90">
        <v>4674.4799999999996</v>
      </c>
      <c r="L153" s="3"/>
      <c r="M153" s="17"/>
      <c r="N153" s="137"/>
      <c r="O153" s="82"/>
    </row>
    <row r="154" spans="1:27" ht="14.6" x14ac:dyDescent="0.4">
      <c r="A154" s="574" t="s">
        <v>511</v>
      </c>
      <c r="B154" s="785" t="str">
        <f t="shared" si="51"/>
        <v>6215-4</v>
      </c>
      <c r="C154" s="569" t="s">
        <v>510</v>
      </c>
      <c r="D154" s="556"/>
      <c r="E154" s="567">
        <v>12</v>
      </c>
      <c r="F154" s="544"/>
      <c r="G154" s="470">
        <f>1292+345</f>
        <v>1637</v>
      </c>
      <c r="H154" s="545">
        <f t="shared" si="50"/>
        <v>19644</v>
      </c>
      <c r="I154" s="113">
        <f t="shared" ca="1" si="52"/>
        <v>-20960.57</v>
      </c>
      <c r="J154" s="113">
        <f t="shared" ca="1" si="53"/>
        <v>-1316.5699999999997</v>
      </c>
      <c r="K154" s="563">
        <v>17976</v>
      </c>
      <c r="L154" s="3"/>
      <c r="M154" s="17"/>
      <c r="N154" s="137"/>
      <c r="O154" s="82"/>
    </row>
    <row r="155" spans="1:27" ht="14.6" x14ac:dyDescent="0.4">
      <c r="A155" s="171"/>
      <c r="B155" s="832" t="str">
        <f t="shared" si="51"/>
        <v>6215-5</v>
      </c>
      <c r="C155" s="565" t="s">
        <v>271</v>
      </c>
      <c r="D155" s="287"/>
      <c r="E155" s="133">
        <v>1</v>
      </c>
      <c r="F155" s="287"/>
      <c r="G155" s="88">
        <v>2500</v>
      </c>
      <c r="H155" s="376">
        <f t="shared" si="50"/>
        <v>2500</v>
      </c>
      <c r="I155" s="90">
        <f t="shared" ca="1" si="52"/>
        <v>0</v>
      </c>
      <c r="J155" s="90">
        <f t="shared" ca="1" si="53"/>
        <v>2500</v>
      </c>
      <c r="K155" s="90">
        <v>2500</v>
      </c>
      <c r="L155" s="3"/>
      <c r="M155" s="17"/>
      <c r="N155" s="137"/>
      <c r="O155" s="82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7" ht="14.6" x14ac:dyDescent="0.4">
      <c r="A156" s="175"/>
      <c r="B156" s="446" t="str">
        <f t="shared" si="51"/>
        <v>6215-6</v>
      </c>
      <c r="C156" s="142" t="s">
        <v>272</v>
      </c>
      <c r="D156" s="282"/>
      <c r="E156" s="155">
        <v>12</v>
      </c>
      <c r="F156" s="155"/>
      <c r="G156" s="116">
        <v>428.56</v>
      </c>
      <c r="H156" s="380">
        <f t="shared" si="50"/>
        <v>5142.72</v>
      </c>
      <c r="I156" s="113">
        <f t="shared" ca="1" si="52"/>
        <v>0</v>
      </c>
      <c r="J156" s="113">
        <f t="shared" ca="1" si="53"/>
        <v>5142.72</v>
      </c>
      <c r="K156" s="113">
        <v>5142.72</v>
      </c>
      <c r="L156" s="3"/>
      <c r="M156" s="17"/>
      <c r="N156" s="137"/>
      <c r="O156" s="82"/>
    </row>
    <row r="157" spans="1:27" ht="14.6" x14ac:dyDescent="0.4">
      <c r="A157" s="668"/>
      <c r="B157" s="832"/>
      <c r="C157" s="217" t="s">
        <v>71</v>
      </c>
      <c r="D157" s="218"/>
      <c r="E157" s="218"/>
      <c r="F157" s="49" t="s">
        <v>49</v>
      </c>
      <c r="G157" s="424">
        <f>SUM('3% Overview'!K15)</f>
        <v>-3.3816425120772944E-2</v>
      </c>
      <c r="H157" s="377">
        <f>SUM(H151:H156)</f>
        <v>39985.599999999999</v>
      </c>
      <c r="I157" s="377">
        <f t="shared" ref="I157:J157" ca="1" si="54">SUM(I151:I156)</f>
        <v>-32522.12</v>
      </c>
      <c r="J157" s="377">
        <f t="shared" ca="1" si="54"/>
        <v>7463.4800000000005</v>
      </c>
      <c r="K157" s="141">
        <f>SUM(K151:K156)</f>
        <v>41317.599999999999</v>
      </c>
      <c r="L157" s="3"/>
      <c r="M157" s="3"/>
      <c r="N157" s="137"/>
      <c r="O157" s="82"/>
    </row>
    <row r="158" spans="1:27" ht="10.5" customHeight="1" x14ac:dyDescent="0.5">
      <c r="A158" s="306"/>
      <c r="B158" s="383"/>
      <c r="C158" s="306"/>
      <c r="D158" s="306"/>
      <c r="E158" s="306"/>
      <c r="F158" s="306"/>
      <c r="G158" s="306"/>
      <c r="H158" s="477"/>
      <c r="I158" s="848"/>
      <c r="J158" s="848"/>
      <c r="K158" s="306"/>
      <c r="L158" s="170"/>
      <c r="M158" s="3"/>
      <c r="N158" s="3"/>
      <c r="O158" s="82"/>
    </row>
    <row r="159" spans="1:27" ht="20.25" customHeight="1" x14ac:dyDescent="0.5">
      <c r="A159" s="897" t="s">
        <v>273</v>
      </c>
      <c r="B159" s="900"/>
      <c r="C159" s="898"/>
      <c r="D159" s="898"/>
      <c r="E159" s="898"/>
      <c r="F159" s="898"/>
      <c r="G159" s="898"/>
      <c r="H159" s="898"/>
      <c r="I159" s="898" t="e">
        <f t="shared" ca="1" si="48"/>
        <v>#REF!</v>
      </c>
      <c r="J159" s="898" t="e">
        <f t="shared" ca="1" si="49"/>
        <v>#REF!</v>
      </c>
      <c r="K159" s="899"/>
      <c r="L159" s="3"/>
      <c r="M159" s="3"/>
      <c r="N159" s="3"/>
      <c r="O159" s="82"/>
    </row>
    <row r="160" spans="1:27" ht="14.6" x14ac:dyDescent="0.4">
      <c r="A160" s="311"/>
      <c r="B160" s="215" t="str">
        <f>LEFT($A159,4)&amp;"-1"</f>
        <v>6220-1</v>
      </c>
      <c r="C160" s="227" t="s">
        <v>275</v>
      </c>
      <c r="D160" s="287"/>
      <c r="E160" s="133"/>
      <c r="F160" s="287">
        <v>12</v>
      </c>
      <c r="G160" s="88">
        <f>1300*0.75</f>
        <v>975</v>
      </c>
      <c r="H160" s="376">
        <f>(D160+E160+F160)*G160</f>
        <v>11700</v>
      </c>
      <c r="I160" s="90">
        <f ca="1">-(SUMIF(INDIRECT(LEFT($A$159,4)&amp;"!E3:E500"),"="&amp;B160&amp;" *",INDIRECT(LEFT($A$159,4)&amp;"!F3:F500")))</f>
        <v>-14088.679999999998</v>
      </c>
      <c r="J160" s="90">
        <f t="shared" ca="1" si="49"/>
        <v>-2388.6799999999985</v>
      </c>
      <c r="K160" s="90">
        <v>11700</v>
      </c>
      <c r="L160" s="3"/>
      <c r="M160" s="3"/>
      <c r="N160" s="137"/>
      <c r="O160" s="82"/>
    </row>
    <row r="161" spans="1:25" ht="14.6" x14ac:dyDescent="0.4">
      <c r="A161" s="312"/>
      <c r="B161" s="845" t="str">
        <f>LEFT($B160,4)&amp;"-"&amp;VALUE(MID($B160,FIND("-",$B160)+1,256))+1</f>
        <v>6220-2</v>
      </c>
      <c r="C161" s="258" t="s">
        <v>277</v>
      </c>
      <c r="D161" s="313"/>
      <c r="E161" s="314"/>
      <c r="F161" s="315">
        <v>0</v>
      </c>
      <c r="G161" s="259">
        <v>65</v>
      </c>
      <c r="H161" s="381">
        <f t="shared" ref="H161:H170" si="55">SUM((D161+E161+F161)*G161)</f>
        <v>0</v>
      </c>
      <c r="I161" s="417">
        <f ca="1">-(SUMIF(INDIRECT(LEFT($A$159,4)&amp;"!E3:E500"),"="&amp;B161&amp;" *",INDIRECT(LEFT($A$159,4)&amp;"!F3:F500")))</f>
        <v>0</v>
      </c>
      <c r="J161" s="417">
        <f t="shared" ref="J161:J162" ca="1" si="56">SUM(H161:I161)</f>
        <v>0</v>
      </c>
      <c r="K161" s="187">
        <v>695.88</v>
      </c>
      <c r="L161" s="3"/>
      <c r="M161" s="3"/>
      <c r="N161" s="137"/>
      <c r="O161" s="290"/>
    </row>
    <row r="162" spans="1:25" ht="14.6" x14ac:dyDescent="0.4">
      <c r="A162" s="316"/>
      <c r="B162" s="846" t="str">
        <f>LEFT($B161,4)&amp;"-"&amp;VALUE(MID($B161,FIND("-",$B161)+1,256))+1</f>
        <v>6220-3</v>
      </c>
      <c r="C162" s="317" t="s">
        <v>281</v>
      </c>
      <c r="D162" s="318"/>
      <c r="E162" s="301"/>
      <c r="F162" s="318">
        <v>12</v>
      </c>
      <c r="G162" s="174">
        <f>(497.9)*105%</f>
        <v>522.79499999999996</v>
      </c>
      <c r="H162" s="429">
        <f t="shared" si="55"/>
        <v>6273.5399999999991</v>
      </c>
      <c r="I162" s="90">
        <f t="shared" ref="I162:I170" ca="1" si="57">-(SUMIF(INDIRECT(LEFT($A$159,4)&amp;"!E3:E500"),"="&amp;B162&amp;" *",INDIRECT(LEFT($A$159,4)&amp;"!F3:F500")))</f>
        <v>0</v>
      </c>
      <c r="J162" s="90">
        <f t="shared" ca="1" si="56"/>
        <v>6273.5399999999991</v>
      </c>
      <c r="K162" s="176">
        <v>8339.5620000000017</v>
      </c>
      <c r="L162" s="3"/>
      <c r="M162" s="3"/>
      <c r="N162" s="137"/>
      <c r="O162" s="82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s="579" customFormat="1" ht="14.6" x14ac:dyDescent="0.4">
      <c r="A163" s="511" t="s">
        <v>514</v>
      </c>
      <c r="B163" s="845" t="str">
        <f t="shared" ref="B163:B170" si="58">LEFT($B162,4)&amp;"-"&amp;VALUE(MID($B162,FIND("-",$B162)+1,256))+1</f>
        <v>6220-4</v>
      </c>
      <c r="C163" s="614" t="s">
        <v>513</v>
      </c>
      <c r="D163" s="474"/>
      <c r="E163" s="473"/>
      <c r="F163" s="474">
        <v>1</v>
      </c>
      <c r="G163" s="421">
        <v>10500</v>
      </c>
      <c r="H163" s="382">
        <f>SUM((D163+E163+F163)*G163)</f>
        <v>10500</v>
      </c>
      <c r="I163" s="417">
        <f t="shared" ca="1" si="57"/>
        <v>-17513.23</v>
      </c>
      <c r="J163" s="417">
        <f t="shared" ref="J163:J170" ca="1" si="59">SUM(H163:I163)</f>
        <v>-7013.23</v>
      </c>
      <c r="K163" s="417">
        <v>0</v>
      </c>
      <c r="L163" s="3"/>
      <c r="M163" s="3"/>
      <c r="N163" s="137"/>
      <c r="O163" s="580"/>
    </row>
    <row r="164" spans="1:25" ht="14.6" x14ac:dyDescent="0.4">
      <c r="A164" s="605"/>
      <c r="B164" s="846" t="str">
        <f t="shared" si="58"/>
        <v>6220-5</v>
      </c>
      <c r="C164" s="518" t="s">
        <v>283</v>
      </c>
      <c r="D164" s="445"/>
      <c r="E164" s="444"/>
      <c r="F164" s="445">
        <v>12</v>
      </c>
      <c r="G164" s="401">
        <v>155</v>
      </c>
      <c r="H164" s="378">
        <f t="shared" si="55"/>
        <v>1860</v>
      </c>
      <c r="I164" s="90">
        <f t="shared" ca="1" si="57"/>
        <v>-2007.74</v>
      </c>
      <c r="J164" s="90">
        <f t="shared" ca="1" si="59"/>
        <v>-147.74</v>
      </c>
      <c r="K164" s="397">
        <v>1860</v>
      </c>
      <c r="L164" s="3"/>
      <c r="M164" s="3"/>
      <c r="N164" s="137"/>
      <c r="O164" s="82"/>
    </row>
    <row r="165" spans="1:25" ht="14.6" x14ac:dyDescent="0.4">
      <c r="A165" s="511" t="s">
        <v>514</v>
      </c>
      <c r="B165" s="845" t="str">
        <f t="shared" si="58"/>
        <v>6220-6</v>
      </c>
      <c r="C165" s="623" t="s">
        <v>521</v>
      </c>
      <c r="D165" s="474"/>
      <c r="E165" s="473"/>
      <c r="F165" s="474">
        <v>1</v>
      </c>
      <c r="G165" s="421">
        <v>32000</v>
      </c>
      <c r="H165" s="382">
        <f t="shared" si="55"/>
        <v>32000</v>
      </c>
      <c r="I165" s="417">
        <f t="shared" ca="1" si="57"/>
        <v>-39027.15</v>
      </c>
      <c r="J165" s="417">
        <f t="shared" ca="1" si="59"/>
        <v>-7027.1500000000015</v>
      </c>
      <c r="K165" s="417">
        <v>47000</v>
      </c>
      <c r="L165" s="3"/>
      <c r="M165" s="3"/>
      <c r="N165" s="137"/>
      <c r="O165" s="82"/>
    </row>
    <row r="166" spans="1:25" s="491" customFormat="1" ht="15.75" customHeight="1" x14ac:dyDescent="0.4">
      <c r="A166" s="603" t="s">
        <v>288</v>
      </c>
      <c r="B166" s="846" t="str">
        <f t="shared" si="58"/>
        <v>6220-7</v>
      </c>
      <c r="C166" s="607" t="s">
        <v>289</v>
      </c>
      <c r="D166" s="499"/>
      <c r="E166" s="435"/>
      <c r="F166" s="499">
        <v>12</v>
      </c>
      <c r="G166" s="401">
        <v>380</v>
      </c>
      <c r="H166" s="378">
        <f t="shared" si="55"/>
        <v>4560</v>
      </c>
      <c r="I166" s="90">
        <f t="shared" ca="1" si="57"/>
        <v>-4974.08</v>
      </c>
      <c r="J166" s="90">
        <f t="shared" ca="1" si="59"/>
        <v>-414.07999999999993</v>
      </c>
      <c r="K166" s="397"/>
      <c r="L166" s="433"/>
      <c r="N166" s="433"/>
      <c r="O166" s="490"/>
    </row>
    <row r="167" spans="1:25" s="491" customFormat="1" ht="14.6" x14ac:dyDescent="0.4">
      <c r="A167" s="624" t="s">
        <v>276</v>
      </c>
      <c r="B167" s="845" t="str">
        <f t="shared" si="58"/>
        <v>6220-8</v>
      </c>
      <c r="C167" s="575" t="s">
        <v>284</v>
      </c>
      <c r="D167" s="456"/>
      <c r="E167" s="456"/>
      <c r="F167" s="456">
        <v>12</v>
      </c>
      <c r="G167" s="454">
        <v>1300</v>
      </c>
      <c r="H167" s="379">
        <f t="shared" si="55"/>
        <v>15600</v>
      </c>
      <c r="I167" s="417">
        <f t="shared" ca="1" si="57"/>
        <v>-15180.410000000002</v>
      </c>
      <c r="J167" s="417">
        <f t="shared" ca="1" si="59"/>
        <v>419.58999999999833</v>
      </c>
      <c r="K167" s="578">
        <v>15000</v>
      </c>
      <c r="L167" s="433"/>
      <c r="M167" s="433"/>
      <c r="N167" s="442"/>
      <c r="O167" s="490"/>
    </row>
    <row r="168" spans="1:25" s="491" customFormat="1" ht="14.6" x14ac:dyDescent="0.4">
      <c r="A168" s="604"/>
      <c r="B168" s="846" t="str">
        <f t="shared" si="58"/>
        <v>6220-9</v>
      </c>
      <c r="C168" s="384" t="s">
        <v>285</v>
      </c>
      <c r="D168" s="564"/>
      <c r="E168" s="441"/>
      <c r="F168" s="564">
        <v>1</v>
      </c>
      <c r="G168" s="388">
        <v>100</v>
      </c>
      <c r="H168" s="389">
        <f t="shared" si="55"/>
        <v>100</v>
      </c>
      <c r="I168" s="90">
        <f t="shared" ca="1" si="57"/>
        <v>-15</v>
      </c>
      <c r="J168" s="90">
        <f t="shared" ca="1" si="59"/>
        <v>85</v>
      </c>
      <c r="K168" s="390">
        <v>100</v>
      </c>
      <c r="L168" s="433"/>
      <c r="M168" s="433"/>
      <c r="N168" s="442"/>
      <c r="O168" s="490"/>
    </row>
    <row r="169" spans="1:25" s="491" customFormat="1" ht="14.6" x14ac:dyDescent="0.4">
      <c r="A169" s="625"/>
      <c r="B169" s="845" t="str">
        <f t="shared" si="58"/>
        <v>6220-10</v>
      </c>
      <c r="C169" s="514" t="s">
        <v>286</v>
      </c>
      <c r="D169" s="515"/>
      <c r="E169" s="456"/>
      <c r="F169" s="515">
        <v>12</v>
      </c>
      <c r="G169" s="454">
        <f>75.98</f>
        <v>75.98</v>
      </c>
      <c r="H169" s="379">
        <f t="shared" si="55"/>
        <v>911.76</v>
      </c>
      <c r="I169" s="417">
        <f t="shared" ca="1" si="57"/>
        <v>-911.74</v>
      </c>
      <c r="J169" s="417">
        <f t="shared" ca="1" si="59"/>
        <v>1.999999999998181E-2</v>
      </c>
      <c r="K169" s="578">
        <v>911.76</v>
      </c>
      <c r="L169" s="433"/>
      <c r="M169" s="433"/>
      <c r="N169" s="442"/>
      <c r="O169" s="490"/>
    </row>
    <row r="170" spans="1:25" s="491" customFormat="1" ht="14.6" x14ac:dyDescent="0.4">
      <c r="A170" s="438" t="s">
        <v>276</v>
      </c>
      <c r="B170" s="846" t="str">
        <f t="shared" si="58"/>
        <v>6220-11</v>
      </c>
      <c r="C170" s="391" t="s">
        <v>287</v>
      </c>
      <c r="D170" s="606"/>
      <c r="E170" s="500"/>
      <c r="F170" s="500">
        <v>12</v>
      </c>
      <c r="G170" s="388">
        <f>5937*105%</f>
        <v>6233.85</v>
      </c>
      <c r="H170" s="389">
        <f t="shared" si="55"/>
        <v>74806.200000000012</v>
      </c>
      <c r="I170" s="90">
        <f t="shared" ca="1" si="57"/>
        <v>-90362.37</v>
      </c>
      <c r="J170" s="90">
        <f t="shared" ca="1" si="59"/>
        <v>-15556.169999999984</v>
      </c>
      <c r="K170" s="390">
        <v>69300</v>
      </c>
      <c r="L170" s="433"/>
      <c r="M170" s="433"/>
      <c r="N170" s="442"/>
      <c r="O170" s="490"/>
    </row>
    <row r="171" spans="1:25" s="491" customFormat="1" ht="15.75" customHeight="1" thickBot="1" x14ac:dyDescent="0.45">
      <c r="A171" s="608"/>
      <c r="B171" s="608"/>
      <c r="C171" s="609" t="s">
        <v>71</v>
      </c>
      <c r="D171" s="610"/>
      <c r="E171" s="500"/>
      <c r="F171" s="530" t="s">
        <v>49</v>
      </c>
      <c r="G171" s="611">
        <f>SUM('3% Overview'!K16)</f>
        <v>2.1935483870967741E-2</v>
      </c>
      <c r="H171" s="612">
        <f>SUM(H160:H170)</f>
        <v>158311.5</v>
      </c>
      <c r="I171" s="612">
        <f t="shared" ref="I171:J171" ca="1" si="60">SUM(I160:I170)</f>
        <v>-184080.4</v>
      </c>
      <c r="J171" s="612">
        <f t="shared" ca="1" si="60"/>
        <v>-25768.899999999987</v>
      </c>
      <c r="K171" s="613">
        <f>SUM(K160:K170)</f>
        <v>154907.20199999999</v>
      </c>
      <c r="L171" s="433"/>
      <c r="M171" s="433"/>
      <c r="N171" s="433"/>
      <c r="O171" s="490"/>
    </row>
    <row r="172" spans="1:25" ht="9.75" customHeight="1" x14ac:dyDescent="0.5">
      <c r="A172" s="3"/>
      <c r="B172" s="830"/>
      <c r="C172" s="319"/>
      <c r="D172" s="319"/>
      <c r="E172" s="319"/>
      <c r="F172" s="319"/>
      <c r="G172" s="319"/>
      <c r="H172" s="478"/>
      <c r="I172" s="849"/>
      <c r="J172" s="849"/>
      <c r="K172" s="319"/>
      <c r="L172" s="3"/>
      <c r="M172" s="3"/>
      <c r="N172" s="3"/>
      <c r="O172" s="82"/>
    </row>
    <row r="173" spans="1:25" ht="19.5" customHeight="1" x14ac:dyDescent="0.5">
      <c r="A173" s="897" t="s">
        <v>290</v>
      </c>
      <c r="B173" s="900"/>
      <c r="C173" s="898"/>
      <c r="D173" s="898"/>
      <c r="E173" s="898"/>
      <c r="F173" s="898"/>
      <c r="G173" s="898"/>
      <c r="H173" s="898"/>
      <c r="I173" s="898" t="e">
        <f t="shared" ref="I173" ca="1" si="61">-(SUMIF(INDIRECT(LEFT($A$171,4)&amp;"!E3:E200"),"="&amp;B173&amp;" *",INDIRECT(LEFT($A$171,4)&amp;"!F3:F200")))</f>
        <v>#REF!</v>
      </c>
      <c r="J173" s="898" t="e">
        <f t="shared" ref="J173:J175" ca="1" si="62">SUM(H173:I173)</f>
        <v>#REF!</v>
      </c>
      <c r="K173" s="899"/>
      <c r="L173" s="3"/>
      <c r="M173" s="3"/>
      <c r="N173" s="3"/>
      <c r="O173" s="82"/>
    </row>
    <row r="174" spans="1:25" ht="14.6" x14ac:dyDescent="0.4">
      <c r="A174" s="438"/>
      <c r="B174" s="278" t="str">
        <f>LEFT($A173,4)&amp;"-1"</f>
        <v>6225-1</v>
      </c>
      <c r="C174" s="674" t="s">
        <v>291</v>
      </c>
      <c r="D174" s="610"/>
      <c r="E174" s="500">
        <v>2</v>
      </c>
      <c r="F174" s="610"/>
      <c r="G174" s="388">
        <v>5800</v>
      </c>
      <c r="H174" s="389">
        <f t="shared" ref="H174:H178" si="63">SUM(D174+E174+F174)*G174</f>
        <v>11600</v>
      </c>
      <c r="I174" s="390">
        <f ca="1">-(SUMIF(INDIRECT(LEFT($A$173,4)&amp;"!E3:E200"),"="&amp;B174&amp;" *",INDIRECT(LEFT($A$173,4)&amp;"!F3:F200")))</f>
        <v>-10997.6</v>
      </c>
      <c r="J174" s="390">
        <f t="shared" ca="1" si="62"/>
        <v>602.39999999999964</v>
      </c>
      <c r="K174" s="442">
        <v>5800</v>
      </c>
      <c r="L174" s="3"/>
      <c r="M174" s="17"/>
      <c r="N174" s="137"/>
      <c r="O174" s="490"/>
    </row>
    <row r="175" spans="1:25" ht="14.6" x14ac:dyDescent="0.4">
      <c r="A175" s="273"/>
      <c r="B175" s="831" t="str">
        <f t="shared" ref="B175:B198" si="64">LEFT($B174,4)&amp;"-"&amp;VALUE(MID($B174,FIND("-",$B174)+1,256))+1</f>
        <v>6225-2</v>
      </c>
      <c r="C175" s="236" t="s">
        <v>292</v>
      </c>
      <c r="D175" s="300"/>
      <c r="E175" s="129">
        <v>3</v>
      </c>
      <c r="F175" s="300"/>
      <c r="G175" s="116">
        <v>5200</v>
      </c>
      <c r="H175" s="380">
        <f t="shared" si="63"/>
        <v>15600</v>
      </c>
      <c r="I175" s="113">
        <f ca="1">-(SUMIF(INDIRECT(LEFT($A$173,4)&amp;"!E3:E200"),"="&amp;B175&amp;" *",INDIRECT(LEFT($A$173,4)&amp;"!F3:F200")))</f>
        <v>-21598.55</v>
      </c>
      <c r="J175" s="113">
        <f t="shared" ca="1" si="62"/>
        <v>-5998.5499999999993</v>
      </c>
      <c r="K175" s="185">
        <v>15600</v>
      </c>
      <c r="L175" s="3"/>
      <c r="M175" s="17"/>
      <c r="N175" s="137"/>
      <c r="O175" s="730"/>
    </row>
    <row r="176" spans="1:25" ht="14.6" x14ac:dyDescent="0.4">
      <c r="A176" s="83"/>
      <c r="B176" s="278" t="str">
        <f t="shared" si="64"/>
        <v>6225-3</v>
      </c>
      <c r="C176" s="160" t="s">
        <v>293</v>
      </c>
      <c r="D176" s="291"/>
      <c r="E176" s="167">
        <v>3</v>
      </c>
      <c r="F176" s="291"/>
      <c r="G176" s="88">
        <v>190</v>
      </c>
      <c r="H176" s="376">
        <f t="shared" si="63"/>
        <v>570</v>
      </c>
      <c r="I176" s="390">
        <f t="shared" ref="I176:I198" ca="1" si="65">-(SUMIF(INDIRECT(LEFT($A$173,4)&amp;"!E3:E200"),"="&amp;B176&amp;" *",INDIRECT(LEFT($A$173,4)&amp;"!F3:F200")))</f>
        <v>-380</v>
      </c>
      <c r="J176" s="390">
        <f t="shared" ref="J176:J198" ca="1" si="66">SUM(H176:I176)</f>
        <v>190</v>
      </c>
      <c r="K176" s="137">
        <v>300</v>
      </c>
      <c r="L176" s="3"/>
      <c r="M176" s="17"/>
      <c r="N176" s="137"/>
      <c r="O176" s="490"/>
    </row>
    <row r="177" spans="1:25" ht="14.6" x14ac:dyDescent="0.4">
      <c r="A177" s="139"/>
      <c r="B177" s="831" t="str">
        <f t="shared" si="64"/>
        <v>6225-4</v>
      </c>
      <c r="C177" s="142" t="s">
        <v>294</v>
      </c>
      <c r="D177" s="286"/>
      <c r="E177" s="115">
        <v>1</v>
      </c>
      <c r="F177" s="286"/>
      <c r="G177" s="116">
        <v>900</v>
      </c>
      <c r="H177" s="380">
        <f t="shared" si="63"/>
        <v>900</v>
      </c>
      <c r="I177" s="113">
        <f t="shared" ca="1" si="65"/>
        <v>0</v>
      </c>
      <c r="J177" s="113">
        <f t="shared" ca="1" si="66"/>
        <v>900</v>
      </c>
      <c r="K177" s="185">
        <v>900</v>
      </c>
      <c r="L177" s="3"/>
      <c r="M177" s="17"/>
      <c r="N177" s="137"/>
      <c r="O177" s="490"/>
      <c r="P177" s="3"/>
    </row>
    <row r="178" spans="1:25" ht="14.6" x14ac:dyDescent="0.4">
      <c r="A178" s="83"/>
      <c r="B178" s="278" t="str">
        <f t="shared" si="64"/>
        <v>6225-5</v>
      </c>
      <c r="C178" s="151" t="s">
        <v>295</v>
      </c>
      <c r="D178" s="287"/>
      <c r="E178" s="126">
        <v>1</v>
      </c>
      <c r="F178" s="287"/>
      <c r="G178" s="88">
        <v>2200</v>
      </c>
      <c r="H178" s="376">
        <f t="shared" si="63"/>
        <v>2200</v>
      </c>
      <c r="I178" s="390">
        <f t="shared" ca="1" si="65"/>
        <v>-5541.36</v>
      </c>
      <c r="J178" s="390">
        <f t="shared" ca="1" si="66"/>
        <v>-3341.3599999999997</v>
      </c>
      <c r="K178" s="137">
        <v>2200</v>
      </c>
      <c r="L178" s="3"/>
      <c r="M178" s="17"/>
      <c r="N178" s="137"/>
      <c r="O178" s="490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6" x14ac:dyDescent="0.4">
      <c r="A179" s="446"/>
      <c r="B179" s="847" t="str">
        <f t="shared" si="64"/>
        <v>6225-6</v>
      </c>
      <c r="C179" s="413" t="s">
        <v>296</v>
      </c>
      <c r="D179" s="474"/>
      <c r="E179" s="473">
        <v>12</v>
      </c>
      <c r="F179" s="474"/>
      <c r="G179" s="421">
        <v>2000</v>
      </c>
      <c r="H179" s="382">
        <f t="shared" ref="H179:H185" si="67">SUM(D179+E179+F179)*G179</f>
        <v>24000</v>
      </c>
      <c r="I179" s="113">
        <f t="shared" ca="1" si="65"/>
        <v>-27295.1</v>
      </c>
      <c r="J179" s="113">
        <f t="shared" ca="1" si="66"/>
        <v>-3295.0999999999985</v>
      </c>
      <c r="K179" s="449">
        <v>24000</v>
      </c>
      <c r="L179" s="3"/>
      <c r="M179" s="17"/>
      <c r="N179" s="137"/>
      <c r="O179" s="82"/>
    </row>
    <row r="180" spans="1:25" s="491" customFormat="1" ht="14.6" x14ac:dyDescent="0.4">
      <c r="A180" s="392"/>
      <c r="B180" s="278" t="str">
        <f t="shared" si="64"/>
        <v>6225-7</v>
      </c>
      <c r="C180" s="399" t="s">
        <v>297</v>
      </c>
      <c r="D180" s="499"/>
      <c r="E180" s="435">
        <v>1</v>
      </c>
      <c r="F180" s="499"/>
      <c r="G180" s="401">
        <v>7500</v>
      </c>
      <c r="H180" s="378">
        <f t="shared" si="67"/>
        <v>7500</v>
      </c>
      <c r="I180" s="390">
        <f t="shared" ca="1" si="65"/>
        <v>-1785</v>
      </c>
      <c r="J180" s="390">
        <f t="shared" ca="1" si="66"/>
        <v>5715</v>
      </c>
      <c r="K180" s="437">
        <v>7500</v>
      </c>
      <c r="L180" s="433"/>
      <c r="M180" s="489"/>
      <c r="N180" s="442"/>
      <c r="O180" s="490"/>
    </row>
    <row r="181" spans="1:25" s="491" customFormat="1" ht="14.6" x14ac:dyDescent="0.4">
      <c r="A181" s="446"/>
      <c r="B181" s="847" t="str">
        <f t="shared" si="64"/>
        <v>6225-8</v>
      </c>
      <c r="C181" s="418" t="s">
        <v>298</v>
      </c>
      <c r="D181" s="506"/>
      <c r="E181" s="448">
        <v>1</v>
      </c>
      <c r="F181" s="506"/>
      <c r="G181" s="421">
        <v>3400</v>
      </c>
      <c r="H181" s="382">
        <f t="shared" si="67"/>
        <v>3400</v>
      </c>
      <c r="I181" s="113">
        <f t="shared" ca="1" si="65"/>
        <v>-3437.5099999999998</v>
      </c>
      <c r="J181" s="113">
        <f t="shared" ca="1" si="66"/>
        <v>-37.509999999999764</v>
      </c>
      <c r="K181" s="449">
        <v>3400</v>
      </c>
      <c r="L181" s="433"/>
      <c r="M181" s="489"/>
      <c r="N181" s="442"/>
      <c r="O181" s="490"/>
    </row>
    <row r="182" spans="1:25" s="491" customFormat="1" ht="14.6" x14ac:dyDescent="0.4">
      <c r="A182" s="434"/>
      <c r="B182" s="278" t="str">
        <f t="shared" si="64"/>
        <v>6225-9</v>
      </c>
      <c r="C182" s="393" t="s">
        <v>299</v>
      </c>
      <c r="D182" s="445"/>
      <c r="E182" s="444">
        <v>1</v>
      </c>
      <c r="F182" s="445"/>
      <c r="G182" s="401">
        <v>450</v>
      </c>
      <c r="H182" s="378">
        <f t="shared" si="67"/>
        <v>450</v>
      </c>
      <c r="I182" s="390">
        <f t="shared" ca="1" si="65"/>
        <v>-202</v>
      </c>
      <c r="J182" s="390">
        <f t="shared" ca="1" si="66"/>
        <v>248</v>
      </c>
      <c r="K182" s="437">
        <v>450</v>
      </c>
      <c r="L182" s="433"/>
      <c r="M182" s="489"/>
      <c r="N182" s="442"/>
      <c r="O182" s="490"/>
    </row>
    <row r="183" spans="1:25" s="491" customFormat="1" ht="14.6" x14ac:dyDescent="0.4">
      <c r="A183" s="446"/>
      <c r="B183" s="847" t="str">
        <f t="shared" si="64"/>
        <v>6225-10</v>
      </c>
      <c r="C183" s="418" t="s">
        <v>300</v>
      </c>
      <c r="D183" s="506"/>
      <c r="E183" s="448">
        <v>1</v>
      </c>
      <c r="F183" s="506"/>
      <c r="G183" s="421">
        <v>20</v>
      </c>
      <c r="H183" s="382">
        <f t="shared" si="67"/>
        <v>20</v>
      </c>
      <c r="I183" s="113">
        <f t="shared" ca="1" si="65"/>
        <v>-20</v>
      </c>
      <c r="J183" s="113">
        <f t="shared" ca="1" si="66"/>
        <v>0</v>
      </c>
      <c r="K183" s="449">
        <v>20</v>
      </c>
      <c r="L183" s="433"/>
      <c r="M183" s="489"/>
      <c r="N183" s="442"/>
      <c r="O183" s="490"/>
    </row>
    <row r="184" spans="1:25" s="491" customFormat="1" ht="14.6" x14ac:dyDescent="0.4">
      <c r="A184" s="434"/>
      <c r="B184" s="278" t="str">
        <f t="shared" si="64"/>
        <v>6225-11</v>
      </c>
      <c r="C184" s="393" t="s">
        <v>301</v>
      </c>
      <c r="D184" s="445"/>
      <c r="E184" s="444">
        <v>1</v>
      </c>
      <c r="F184" s="445"/>
      <c r="G184" s="401">
        <v>1100</v>
      </c>
      <c r="H184" s="378">
        <f t="shared" si="67"/>
        <v>1100</v>
      </c>
      <c r="I184" s="390">
        <f t="shared" ca="1" si="65"/>
        <v>-1298.5</v>
      </c>
      <c r="J184" s="390">
        <f t="shared" ca="1" si="66"/>
        <v>-198.5</v>
      </c>
      <c r="K184" s="437">
        <v>1100</v>
      </c>
      <c r="L184" s="433"/>
      <c r="M184" s="489"/>
      <c r="N184" s="442"/>
      <c r="O184" s="490"/>
    </row>
    <row r="185" spans="1:25" s="491" customFormat="1" ht="14.6" x14ac:dyDescent="0.4">
      <c r="A185" s="511" t="s">
        <v>302</v>
      </c>
      <c r="B185" s="847" t="str">
        <f t="shared" si="64"/>
        <v>6225-12</v>
      </c>
      <c r="C185" s="418" t="s">
        <v>303</v>
      </c>
      <c r="D185" s="506"/>
      <c r="E185" s="448"/>
      <c r="F185" s="506"/>
      <c r="G185" s="421">
        <v>45</v>
      </c>
      <c r="H185" s="379">
        <f t="shared" si="67"/>
        <v>0</v>
      </c>
      <c r="I185" s="113">
        <f t="shared" ca="1" si="65"/>
        <v>0</v>
      </c>
      <c r="J185" s="113">
        <f t="shared" ca="1" si="66"/>
        <v>0</v>
      </c>
      <c r="K185" s="619">
        <v>920</v>
      </c>
      <c r="L185" s="433"/>
      <c r="M185" s="489"/>
      <c r="N185" s="442"/>
      <c r="O185" s="490"/>
    </row>
    <row r="186" spans="1:25" s="491" customFormat="1" ht="14.6" x14ac:dyDescent="0.4">
      <c r="A186" s="621" t="s">
        <v>501</v>
      </c>
      <c r="B186" s="278" t="str">
        <f t="shared" si="64"/>
        <v>6225-13</v>
      </c>
      <c r="C186" s="393" t="s">
        <v>304</v>
      </c>
      <c r="D186" s="445"/>
      <c r="E186" s="444">
        <v>12</v>
      </c>
      <c r="F186" s="445"/>
      <c r="G186" s="615">
        <f>1200+135</f>
        <v>1335</v>
      </c>
      <c r="H186" s="378">
        <f t="shared" ref="H186:H194" si="68">SUM(D186+E186+F186)*G186</f>
        <v>16020</v>
      </c>
      <c r="I186" s="390">
        <f t="shared" ca="1" si="65"/>
        <v>-10119.68</v>
      </c>
      <c r="J186" s="390">
        <f t="shared" ca="1" si="66"/>
        <v>5900.32</v>
      </c>
      <c r="K186" s="437">
        <v>14400</v>
      </c>
      <c r="L186" s="433"/>
      <c r="M186" s="489"/>
      <c r="N186" s="442"/>
      <c r="O186" s="490"/>
    </row>
    <row r="187" spans="1:25" s="491" customFormat="1" ht="14.6" x14ac:dyDescent="0.4">
      <c r="A187" s="412"/>
      <c r="B187" s="847" t="str">
        <f t="shared" si="64"/>
        <v>6225-14</v>
      </c>
      <c r="C187" s="418" t="s">
        <v>305</v>
      </c>
      <c r="D187" s="506"/>
      <c r="E187" s="448">
        <v>2</v>
      </c>
      <c r="F187" s="506"/>
      <c r="G187" s="421">
        <v>300</v>
      </c>
      <c r="H187" s="382">
        <f t="shared" si="68"/>
        <v>600</v>
      </c>
      <c r="I187" s="113">
        <f t="shared" ca="1" si="65"/>
        <v>-147.63</v>
      </c>
      <c r="J187" s="113">
        <f t="shared" ca="1" si="66"/>
        <v>452.37</v>
      </c>
      <c r="K187" s="449">
        <v>300</v>
      </c>
      <c r="L187" s="433"/>
      <c r="M187" s="489"/>
      <c r="N187" s="442"/>
      <c r="O187" s="490"/>
    </row>
    <row r="188" spans="1:25" s="491" customFormat="1" ht="14.6" x14ac:dyDescent="0.4">
      <c r="A188" s="434"/>
      <c r="B188" s="278" t="str">
        <f t="shared" si="64"/>
        <v>6225-15</v>
      </c>
      <c r="C188" s="393" t="s">
        <v>306</v>
      </c>
      <c r="D188" s="616"/>
      <c r="E188" s="444">
        <v>6</v>
      </c>
      <c r="F188" s="443"/>
      <c r="G188" s="401">
        <v>248</v>
      </c>
      <c r="H188" s="378">
        <f t="shared" si="68"/>
        <v>1488</v>
      </c>
      <c r="I188" s="390">
        <f t="shared" ca="1" si="65"/>
        <v>-1952.17</v>
      </c>
      <c r="J188" s="390">
        <f t="shared" ca="1" si="66"/>
        <v>-464.17000000000007</v>
      </c>
      <c r="K188" s="401">
        <v>780</v>
      </c>
      <c r="L188" s="433"/>
      <c r="M188" s="489"/>
      <c r="N188" s="442"/>
      <c r="O188" s="490"/>
      <c r="P188" s="433"/>
      <c r="Q188" s="433"/>
      <c r="R188" s="433"/>
      <c r="S188" s="433"/>
      <c r="T188" s="433"/>
      <c r="U188" s="433"/>
      <c r="V188" s="433"/>
      <c r="W188" s="433"/>
      <c r="X188" s="433"/>
      <c r="Y188" s="433"/>
    </row>
    <row r="189" spans="1:25" s="491" customFormat="1" ht="22.5" customHeight="1" x14ac:dyDescent="0.4">
      <c r="A189" s="622" t="s">
        <v>522</v>
      </c>
      <c r="B189" s="847" t="str">
        <f t="shared" si="64"/>
        <v>6225-16</v>
      </c>
      <c r="C189" s="418" t="s">
        <v>307</v>
      </c>
      <c r="D189" s="506"/>
      <c r="E189" s="448">
        <v>2</v>
      </c>
      <c r="F189" s="506"/>
      <c r="G189" s="421">
        <v>7800</v>
      </c>
      <c r="H189" s="382">
        <f t="shared" si="68"/>
        <v>15600</v>
      </c>
      <c r="I189" s="113">
        <f t="shared" ca="1" si="65"/>
        <v>-7686.76</v>
      </c>
      <c r="J189" s="113">
        <f t="shared" ca="1" si="66"/>
        <v>7913.24</v>
      </c>
      <c r="K189" s="449">
        <v>7800</v>
      </c>
      <c r="L189" s="433"/>
      <c r="M189" s="489"/>
      <c r="N189" s="442"/>
      <c r="O189" s="490"/>
    </row>
    <row r="190" spans="1:25" s="491" customFormat="1" ht="14.6" x14ac:dyDescent="0.4">
      <c r="A190" s="434"/>
      <c r="B190" s="278" t="str">
        <f t="shared" si="64"/>
        <v>6225-17</v>
      </c>
      <c r="C190" s="399" t="s">
        <v>308</v>
      </c>
      <c r="D190" s="499"/>
      <c r="E190" s="435">
        <v>1</v>
      </c>
      <c r="F190" s="499"/>
      <c r="G190" s="401">
        <v>1600</v>
      </c>
      <c r="H190" s="378">
        <f t="shared" si="68"/>
        <v>1600</v>
      </c>
      <c r="I190" s="390">
        <f t="shared" ca="1" si="65"/>
        <v>-1131.5500000000004</v>
      </c>
      <c r="J190" s="390">
        <f t="shared" ca="1" si="66"/>
        <v>468.44999999999959</v>
      </c>
      <c r="K190" s="437">
        <v>1600</v>
      </c>
      <c r="L190" s="433"/>
      <c r="M190" s="489"/>
      <c r="N190" s="442"/>
      <c r="O190" s="490"/>
    </row>
    <row r="191" spans="1:25" s="491" customFormat="1" ht="14.6" x14ac:dyDescent="0.4">
      <c r="A191" s="412"/>
      <c r="B191" s="847" t="str">
        <f t="shared" si="64"/>
        <v>6225-18</v>
      </c>
      <c r="C191" s="413" t="s">
        <v>309</v>
      </c>
      <c r="D191" s="474"/>
      <c r="E191" s="473">
        <v>1</v>
      </c>
      <c r="F191" s="474"/>
      <c r="G191" s="421">
        <v>2000</v>
      </c>
      <c r="H191" s="382">
        <f t="shared" si="68"/>
        <v>2000</v>
      </c>
      <c r="I191" s="113">
        <f t="shared" ca="1" si="65"/>
        <v>-870</v>
      </c>
      <c r="J191" s="113">
        <f t="shared" ca="1" si="66"/>
        <v>1130</v>
      </c>
      <c r="K191" s="449">
        <v>2000</v>
      </c>
      <c r="L191" s="433"/>
      <c r="M191" s="489"/>
      <c r="N191" s="442"/>
      <c r="O191" s="490"/>
      <c r="P191" s="433"/>
      <c r="Q191" s="433"/>
      <c r="R191" s="433"/>
      <c r="S191" s="433"/>
      <c r="T191" s="433"/>
      <c r="U191" s="433"/>
      <c r="V191" s="433"/>
      <c r="W191" s="433"/>
      <c r="X191" s="433"/>
      <c r="Y191" s="433"/>
    </row>
    <row r="192" spans="1:25" s="491" customFormat="1" ht="14.6" x14ac:dyDescent="0.4">
      <c r="A192" s="434"/>
      <c r="B192" s="278" t="str">
        <f t="shared" si="64"/>
        <v>6225-19</v>
      </c>
      <c r="C192" s="399" t="s">
        <v>310</v>
      </c>
      <c r="D192" s="499"/>
      <c r="E192" s="435">
        <v>8</v>
      </c>
      <c r="F192" s="499"/>
      <c r="G192" s="401">
        <v>140</v>
      </c>
      <c r="H192" s="378">
        <f t="shared" si="68"/>
        <v>1120</v>
      </c>
      <c r="I192" s="390">
        <f t="shared" ca="1" si="65"/>
        <v>-923</v>
      </c>
      <c r="J192" s="390">
        <f t="shared" ca="1" si="66"/>
        <v>197</v>
      </c>
      <c r="K192" s="437">
        <v>1040</v>
      </c>
      <c r="L192" s="433"/>
      <c r="M192" s="489"/>
      <c r="N192" s="442"/>
      <c r="O192" s="490"/>
    </row>
    <row r="193" spans="1:27" s="491" customFormat="1" ht="14.6" x14ac:dyDescent="0.4">
      <c r="A193" s="620" t="s">
        <v>499</v>
      </c>
      <c r="B193" s="847" t="str">
        <f t="shared" si="64"/>
        <v>6225-20</v>
      </c>
      <c r="C193" s="413" t="s">
        <v>311</v>
      </c>
      <c r="D193" s="474"/>
      <c r="E193" s="473">
        <v>1</v>
      </c>
      <c r="F193" s="474"/>
      <c r="G193" s="421">
        <v>5399</v>
      </c>
      <c r="H193" s="382">
        <f t="shared" si="68"/>
        <v>5399</v>
      </c>
      <c r="I193" s="113">
        <f t="shared" ca="1" si="65"/>
        <v>-6219</v>
      </c>
      <c r="J193" s="113">
        <f t="shared" ca="1" si="66"/>
        <v>-820</v>
      </c>
      <c r="K193" s="449">
        <v>1000</v>
      </c>
      <c r="L193" s="433"/>
      <c r="M193" s="617"/>
      <c r="N193" s="442"/>
      <c r="O193" s="490"/>
    </row>
    <row r="194" spans="1:27" s="491" customFormat="1" ht="14.6" x14ac:dyDescent="0.4">
      <c r="A194" s="434"/>
      <c r="B194" s="278" t="str">
        <f t="shared" si="64"/>
        <v>6225-21</v>
      </c>
      <c r="C194" s="393" t="s">
        <v>312</v>
      </c>
      <c r="D194" s="445"/>
      <c r="E194" s="444">
        <v>1</v>
      </c>
      <c r="F194" s="445"/>
      <c r="G194" s="401">
        <v>2000</v>
      </c>
      <c r="H194" s="378">
        <f t="shared" si="68"/>
        <v>2000</v>
      </c>
      <c r="I194" s="390">
        <f t="shared" ca="1" si="65"/>
        <v>0</v>
      </c>
      <c r="J194" s="390">
        <f t="shared" ca="1" si="66"/>
        <v>2000</v>
      </c>
      <c r="K194" s="437">
        <v>2000</v>
      </c>
      <c r="L194" s="433"/>
      <c r="M194" s="489"/>
      <c r="N194" s="442"/>
      <c r="O194" s="490"/>
      <c r="P194" s="433"/>
      <c r="Q194" s="433"/>
      <c r="R194" s="433"/>
      <c r="S194" s="433"/>
      <c r="T194" s="433"/>
      <c r="U194" s="433"/>
      <c r="V194" s="433"/>
      <c r="W194" s="433"/>
      <c r="X194" s="433"/>
      <c r="Y194" s="433"/>
    </row>
    <row r="195" spans="1:27" s="491" customFormat="1" ht="14.6" x14ac:dyDescent="0.4">
      <c r="A195" s="451"/>
      <c r="B195" s="847" t="str">
        <f t="shared" si="64"/>
        <v>6225-22</v>
      </c>
      <c r="C195" s="514" t="s">
        <v>313</v>
      </c>
      <c r="D195" s="515"/>
      <c r="E195" s="456">
        <v>12</v>
      </c>
      <c r="F195" s="515"/>
      <c r="G195" s="454">
        <v>420</v>
      </c>
      <c r="H195" s="379">
        <f t="shared" ref="H195:H198" si="69">SUM(D195+E195+F195)*G195</f>
        <v>5040</v>
      </c>
      <c r="I195" s="113">
        <f t="shared" ca="1" si="65"/>
        <v>-1586.4</v>
      </c>
      <c r="J195" s="113">
        <f t="shared" ca="1" si="66"/>
        <v>3453.6</v>
      </c>
      <c r="K195" s="454">
        <v>4800</v>
      </c>
      <c r="L195" s="433"/>
      <c r="M195" s="489"/>
      <c r="N195" s="442"/>
      <c r="O195" s="618"/>
      <c r="P195" s="433"/>
      <c r="Q195" s="433"/>
      <c r="R195" s="433"/>
      <c r="S195" s="433"/>
      <c r="T195" s="433"/>
      <c r="U195" s="433"/>
      <c r="V195" s="433"/>
      <c r="W195" s="433"/>
      <c r="X195" s="433"/>
      <c r="Y195" s="433"/>
    </row>
    <row r="196" spans="1:27" ht="14.6" x14ac:dyDescent="0.4">
      <c r="A196" s="487" t="s">
        <v>500</v>
      </c>
      <c r="B196" s="278" t="str">
        <f t="shared" si="64"/>
        <v>6225-23</v>
      </c>
      <c r="C196" s="160" t="s">
        <v>314</v>
      </c>
      <c r="D196" s="291"/>
      <c r="E196" s="167">
        <v>1</v>
      </c>
      <c r="F196" s="291"/>
      <c r="G196" s="102">
        <v>2000</v>
      </c>
      <c r="H196" s="376">
        <f t="shared" si="69"/>
        <v>2000</v>
      </c>
      <c r="I196" s="390">
        <f t="shared" ca="1" si="65"/>
        <v>-1956</v>
      </c>
      <c r="J196" s="390">
        <f t="shared" ca="1" si="66"/>
        <v>44</v>
      </c>
      <c r="K196" s="137">
        <v>1000</v>
      </c>
      <c r="L196" s="3"/>
      <c r="M196" s="17"/>
      <c r="N196" s="137"/>
      <c r="O196" s="82"/>
    </row>
    <row r="197" spans="1:27" s="491" customFormat="1" ht="14.6" x14ac:dyDescent="0.4">
      <c r="A197" s="561"/>
      <c r="B197" s="847" t="str">
        <f t="shared" si="64"/>
        <v>6225-24</v>
      </c>
      <c r="C197" s="562" t="s">
        <v>315</v>
      </c>
      <c r="D197" s="459"/>
      <c r="E197" s="453">
        <v>1</v>
      </c>
      <c r="F197" s="459"/>
      <c r="G197" s="454">
        <v>6800</v>
      </c>
      <c r="H197" s="379">
        <f t="shared" si="69"/>
        <v>6800</v>
      </c>
      <c r="I197" s="113">
        <f ca="1">-(SUMIF(INDIRECT(LEFT($A$173,4)&amp;"!E3:E207"),"="&amp;B197&amp;" *",INDIRECT(LEFT($A$173,4)&amp;"!F3:F207")))</f>
        <v>-6683.5</v>
      </c>
      <c r="J197" s="113">
        <f t="shared" ca="1" si="66"/>
        <v>116.5</v>
      </c>
      <c r="K197" s="455">
        <v>6800</v>
      </c>
      <c r="L197" s="433"/>
      <c r="M197" s="489"/>
      <c r="N197" s="442"/>
      <c r="O197" s="490"/>
      <c r="P197" s="433"/>
      <c r="Q197" s="433"/>
      <c r="R197" s="433"/>
      <c r="S197" s="433"/>
      <c r="T197" s="433"/>
      <c r="U197" s="433"/>
      <c r="V197" s="433"/>
      <c r="W197" s="433"/>
      <c r="X197" s="433"/>
      <c r="Y197" s="433"/>
    </row>
    <row r="198" spans="1:27" s="491" customFormat="1" ht="14.6" x14ac:dyDescent="0.4">
      <c r="A198" s="383"/>
      <c r="B198" s="278" t="str">
        <f t="shared" si="64"/>
        <v>6225-25</v>
      </c>
      <c r="C198" s="391" t="s">
        <v>316</v>
      </c>
      <c r="D198" s="610"/>
      <c r="E198" s="500">
        <v>1</v>
      </c>
      <c r="F198" s="610"/>
      <c r="G198" s="388">
        <v>900</v>
      </c>
      <c r="H198" s="389">
        <f t="shared" si="69"/>
        <v>900</v>
      </c>
      <c r="I198" s="390">
        <f t="shared" ca="1" si="65"/>
        <v>0</v>
      </c>
      <c r="J198" s="390">
        <f t="shared" ca="1" si="66"/>
        <v>900</v>
      </c>
      <c r="K198" s="442">
        <v>900</v>
      </c>
      <c r="L198" s="433"/>
      <c r="M198" s="489"/>
      <c r="N198" s="442"/>
      <c r="O198" s="490"/>
    </row>
    <row r="199" spans="1:27" ht="14.6" x14ac:dyDescent="0.4">
      <c r="A199" s="131"/>
      <c r="B199" s="438"/>
      <c r="C199" s="217" t="s">
        <v>71</v>
      </c>
      <c r="D199" s="218"/>
      <c r="E199" s="218"/>
      <c r="F199" s="49" t="s">
        <v>49</v>
      </c>
      <c r="G199" s="424">
        <f>SUM('3% Overview'!K17)</f>
        <v>0.20187793427230047</v>
      </c>
      <c r="H199" s="377">
        <f>SUM(H174:H198)</f>
        <v>127907</v>
      </c>
      <c r="I199" s="141">
        <f t="shared" ref="I199:J199" ca="1" si="70">SUM(I174:I198)</f>
        <v>-111831.30999999998</v>
      </c>
      <c r="J199" s="141">
        <f t="shared" ca="1" si="70"/>
        <v>16075.690000000002</v>
      </c>
      <c r="K199" s="288">
        <f>SUM(K174:K198)</f>
        <v>106610</v>
      </c>
      <c r="L199" s="3"/>
      <c r="M199" s="3"/>
      <c r="N199" s="137"/>
      <c r="O199" s="82"/>
    </row>
    <row r="200" spans="1:27" ht="10.5" customHeight="1" x14ac:dyDescent="0.4">
      <c r="A200" s="131"/>
      <c r="B200" s="832"/>
      <c r="C200" s="217"/>
      <c r="D200" s="218"/>
      <c r="E200" s="218"/>
      <c r="F200" s="49"/>
      <c r="G200" s="325"/>
      <c r="H200" s="432"/>
      <c r="I200" s="256"/>
      <c r="J200" s="256"/>
      <c r="K200" s="289"/>
      <c r="L200" s="3"/>
      <c r="M200" s="3"/>
      <c r="N200" s="3"/>
      <c r="O200" s="82"/>
    </row>
    <row r="201" spans="1:27" ht="19.5" customHeight="1" x14ac:dyDescent="0.5">
      <c r="A201" s="897" t="s">
        <v>317</v>
      </c>
      <c r="B201" s="900"/>
      <c r="C201" s="898"/>
      <c r="D201" s="898"/>
      <c r="E201" s="898"/>
      <c r="F201" s="898"/>
      <c r="G201" s="898"/>
      <c r="H201" s="898"/>
      <c r="I201" s="898" t="e">
        <f t="shared" ref="I201:I207" ca="1" si="71">-(SUMIF(INDIRECT(LEFT($A$183,4)&amp;"!E3:E200"),"="&amp;B201&amp;" *",INDIRECT(LEFT($A$183,4)&amp;"!F3:F200")))</f>
        <v>#REF!</v>
      </c>
      <c r="J201" s="898" t="e">
        <f t="shared" ref="J201:J207" ca="1" si="72">SUM(H201:I201)</f>
        <v>#REF!</v>
      </c>
      <c r="K201" s="899"/>
      <c r="L201" s="3"/>
      <c r="M201" s="3"/>
      <c r="N201" s="3"/>
      <c r="O201" s="82"/>
    </row>
    <row r="202" spans="1:27" ht="19.3" x14ac:dyDescent="0.5">
      <c r="A202" s="493" t="s">
        <v>468</v>
      </c>
      <c r="B202" s="830" t="str">
        <f>LEFT($A201,4)&amp;"-1"</f>
        <v>6235-1</v>
      </c>
      <c r="C202" s="483" t="s">
        <v>466</v>
      </c>
      <c r="D202" s="326"/>
      <c r="E202" s="327"/>
      <c r="F202" s="287">
        <v>12</v>
      </c>
      <c r="G202" s="107">
        <v>650</v>
      </c>
      <c r="H202" s="376">
        <f t="shared" ref="H202:H204" si="73">SUM((D202+E202+F202)*G202)</f>
        <v>7800</v>
      </c>
      <c r="I202" s="330">
        <f ca="1">-(SUMIF(INDIRECT(LEFT($A$201,4)&amp;"!E3:E200"),"="&amp;B202&amp;" *",INDIRECT(LEFT($A$201,4)&amp;"!F3:F200")))</f>
        <v>-8250</v>
      </c>
      <c r="J202" s="330">
        <f t="shared" ca="1" si="72"/>
        <v>-450</v>
      </c>
      <c r="K202" s="90">
        <v>7200</v>
      </c>
      <c r="L202" s="3"/>
      <c r="M202" s="3"/>
      <c r="N202" s="137"/>
      <c r="O202" s="82"/>
    </row>
    <row r="203" spans="1:27" ht="14.6" x14ac:dyDescent="0.4">
      <c r="A203" s="494" t="s">
        <v>468</v>
      </c>
      <c r="B203" s="446" t="str">
        <f t="shared" ref="B203:B204" si="74">LEFT($B202,4)&amp;"-"&amp;VALUE(MID($B202,FIND("-",$B202)+1,256))+1</f>
        <v>6235-2</v>
      </c>
      <c r="C203" s="492" t="s">
        <v>467</v>
      </c>
      <c r="D203" s="286"/>
      <c r="E203" s="155"/>
      <c r="F203" s="108">
        <v>12</v>
      </c>
      <c r="G203" s="122">
        <v>150</v>
      </c>
      <c r="H203" s="380">
        <f t="shared" si="73"/>
        <v>1800</v>
      </c>
      <c r="I203" s="113">
        <f ca="1">-(SUMIF(INDIRECT(LEFT($A$201,4)&amp;"!E3:E200"),"="&amp;B203&amp;" *",INDIRECT(LEFT($A$201,4)&amp;"!F3:F200")))</f>
        <v>-1800</v>
      </c>
      <c r="J203" s="113">
        <f t="shared" ca="1" si="72"/>
        <v>0</v>
      </c>
      <c r="K203" s="185">
        <v>1200</v>
      </c>
      <c r="L203" s="3"/>
      <c r="M203" s="3"/>
      <c r="N203" s="137"/>
      <c r="O203" s="82"/>
    </row>
    <row r="204" spans="1:27" ht="14.6" x14ac:dyDescent="0.4">
      <c r="A204" s="487" t="s">
        <v>537</v>
      </c>
      <c r="B204" s="383" t="str">
        <f t="shared" si="74"/>
        <v>6235-3</v>
      </c>
      <c r="C204" s="663" t="s">
        <v>318</v>
      </c>
      <c r="D204" s="287"/>
      <c r="E204" s="133"/>
      <c r="F204" s="3">
        <v>1</v>
      </c>
      <c r="G204" s="88">
        <v>500</v>
      </c>
      <c r="H204" s="376">
        <f t="shared" si="73"/>
        <v>500</v>
      </c>
      <c r="I204" s="330">
        <f ca="1">-(SUMIF(INDIRECT(LEFT($A$201,4)&amp;"!E3:E200"),"="&amp;B204&amp;" *",INDIRECT(LEFT($A$201,4)&amp;"!F3:F200")))</f>
        <v>-401.12</v>
      </c>
      <c r="J204" s="330">
        <f t="shared" ref="J204" ca="1" si="75">SUM(H204:I204)</f>
        <v>98.88</v>
      </c>
      <c r="K204" s="137">
        <v>0</v>
      </c>
      <c r="L204" s="3"/>
      <c r="M204" s="3"/>
      <c r="N204" s="137"/>
      <c r="O204" s="82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7" ht="14.6" x14ac:dyDescent="0.4">
      <c r="A205" s="216"/>
      <c r="B205" s="832"/>
      <c r="C205" s="217" t="s">
        <v>71</v>
      </c>
      <c r="D205" s="287"/>
      <c r="E205" s="133"/>
      <c r="F205" s="49" t="s">
        <v>49</v>
      </c>
      <c r="G205" s="424">
        <f>SUM('3% Overview'!K18)</f>
        <v>0.20238095238095238</v>
      </c>
      <c r="H205" s="377">
        <f>SUM(H202:H204)</f>
        <v>10100</v>
      </c>
      <c r="I205" s="377">
        <f t="shared" ref="I205:J205" ca="1" si="76">SUM(I202:I204)</f>
        <v>-10451.120000000001</v>
      </c>
      <c r="J205" s="377">
        <f t="shared" ca="1" si="76"/>
        <v>-351.12</v>
      </c>
      <c r="K205" s="141">
        <f>SUM(K202:K204)</f>
        <v>8400</v>
      </c>
      <c r="L205" s="3"/>
      <c r="M205" s="3"/>
      <c r="N205" s="3"/>
      <c r="O205" s="82"/>
    </row>
    <row r="206" spans="1:27" ht="10.5" customHeight="1" x14ac:dyDescent="0.4">
      <c r="A206" s="216"/>
      <c r="B206" s="832"/>
      <c r="C206" s="217"/>
      <c r="D206" s="287"/>
      <c r="E206" s="133"/>
      <c r="F206" s="49"/>
      <c r="G206" s="88"/>
      <c r="H206" s="432"/>
      <c r="I206" s="256"/>
      <c r="J206" s="256"/>
      <c r="K206" s="256"/>
      <c r="L206" s="3"/>
      <c r="M206" s="3"/>
      <c r="N206" s="3"/>
      <c r="O206" s="82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20.25" customHeight="1" x14ac:dyDescent="0.5">
      <c r="A207" s="897" t="s">
        <v>319</v>
      </c>
      <c r="B207" s="900"/>
      <c r="C207" s="898"/>
      <c r="D207" s="898"/>
      <c r="E207" s="898"/>
      <c r="F207" s="898"/>
      <c r="G207" s="898"/>
      <c r="H207" s="898"/>
      <c r="I207" s="898" t="e">
        <f t="shared" ca="1" si="71"/>
        <v>#REF!</v>
      </c>
      <c r="J207" s="898" t="e">
        <f t="shared" ca="1" si="72"/>
        <v>#REF!</v>
      </c>
      <c r="K207" s="899"/>
      <c r="L207" s="3"/>
      <c r="M207" s="3"/>
      <c r="N207" s="3"/>
      <c r="O207" s="82"/>
    </row>
    <row r="208" spans="1:27" ht="26.25" customHeight="1" x14ac:dyDescent="0.4">
      <c r="A208" s="328"/>
      <c r="B208" s="832" t="str">
        <f>LEFT($A207,4)&amp;"-1"</f>
        <v>6236-1</v>
      </c>
      <c r="C208" s="99" t="s">
        <v>320</v>
      </c>
      <c r="D208" s="99"/>
      <c r="E208" s="99"/>
      <c r="F208" s="329">
        <v>6</v>
      </c>
      <c r="G208" s="330">
        <v>1000</v>
      </c>
      <c r="H208" s="376">
        <f>SUM(D208+E208+F208)*G208</f>
        <v>6000</v>
      </c>
      <c r="I208" s="90">
        <f ca="1">-(SUMIF(INDIRECT(LEFT($A$207,4)&amp;"!E3:E200"),"="&amp;B208&amp;" *",INDIRECT(LEFT($A$207,4)&amp;"!F3:F200")))</f>
        <v>-2025.5700000000002</v>
      </c>
      <c r="J208" s="90">
        <f ca="1">SUM(H208:I208)</f>
        <v>3974.43</v>
      </c>
      <c r="K208" s="90">
        <v>6000</v>
      </c>
      <c r="L208" s="3"/>
      <c r="M208" s="3"/>
      <c r="N208" s="137"/>
      <c r="O208" s="82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6" x14ac:dyDescent="0.4">
      <c r="A209" s="99"/>
      <c r="B209" s="438"/>
      <c r="C209" s="99"/>
      <c r="D209" s="99"/>
      <c r="E209" s="99"/>
      <c r="F209" s="49" t="s">
        <v>49</v>
      </c>
      <c r="G209" s="424">
        <f>SUM('3% Overview'!K19)</f>
        <v>0</v>
      </c>
      <c r="H209" s="377">
        <f>SUM(H208)</f>
        <v>6000</v>
      </c>
      <c r="I209" s="377">
        <f t="shared" ref="I209:J209" ca="1" si="77">SUM(I208)</f>
        <v>-2025.5700000000002</v>
      </c>
      <c r="J209" s="377">
        <f t="shared" ca="1" si="77"/>
        <v>3974.43</v>
      </c>
      <c r="K209" s="331">
        <f>SUM(K208)</f>
        <v>6000</v>
      </c>
      <c r="L209" s="3"/>
      <c r="M209" s="3"/>
      <c r="N209" s="3"/>
      <c r="O209" s="82"/>
    </row>
    <row r="210" spans="1:25" ht="9.75" customHeight="1" x14ac:dyDescent="0.4">
      <c r="A210" s="131"/>
      <c r="B210" s="830"/>
      <c r="C210" s="131"/>
      <c r="D210" s="332"/>
      <c r="E210" s="145"/>
      <c r="F210" s="332"/>
      <c r="G210" s="147"/>
      <c r="H210" s="476"/>
      <c r="I210" s="96"/>
      <c r="J210" s="96"/>
      <c r="K210" s="96"/>
      <c r="L210" s="3"/>
      <c r="M210" s="3"/>
      <c r="N210" s="3"/>
      <c r="O210" s="82"/>
    </row>
    <row r="211" spans="1:25" ht="19.5" customHeight="1" x14ac:dyDescent="0.5">
      <c r="A211" s="897" t="s">
        <v>321</v>
      </c>
      <c r="B211" s="900"/>
      <c r="C211" s="898"/>
      <c r="D211" s="898"/>
      <c r="E211" s="898"/>
      <c r="F211" s="898"/>
      <c r="G211" s="898"/>
      <c r="H211" s="898"/>
      <c r="I211" s="898" t="e">
        <f ca="1">SUM(I184:I210)</f>
        <v>#REF!</v>
      </c>
      <c r="J211" s="898" t="e">
        <f ca="1">SUM(J184:J210)</f>
        <v>#REF!</v>
      </c>
      <c r="K211" s="899"/>
      <c r="L211" s="3"/>
      <c r="M211" s="3"/>
      <c r="N211" s="3"/>
      <c r="O211" s="82"/>
    </row>
    <row r="212" spans="1:25" ht="14.6" x14ac:dyDescent="0.4">
      <c r="A212" s="278"/>
      <c r="B212" s="464" t="str">
        <f>LEFT($A211,4)&amp;"-1"</f>
        <v>6240-1</v>
      </c>
      <c r="C212" s="151" t="s">
        <v>322</v>
      </c>
      <c r="D212" s="304">
        <v>1</v>
      </c>
      <c r="E212" s="133"/>
      <c r="F212" s="287"/>
      <c r="G212" s="88">
        <v>160</v>
      </c>
      <c r="H212" s="376">
        <f t="shared" ref="H212:H220" si="78">(D212+E212+F212)*G212</f>
        <v>160</v>
      </c>
      <c r="I212" s="90">
        <f ca="1">-(SUMIF(INDIRECT(LEFT($A$211,4)&amp;"!E3:E200"),"="&amp;B212&amp;" *",INDIRECT(LEFT($A$211,4)&amp;"!F3:F200")))</f>
        <v>-149.94999999999999</v>
      </c>
      <c r="J212" s="90">
        <f ca="1">SUM(H212:I212)</f>
        <v>10.050000000000011</v>
      </c>
      <c r="K212" s="137">
        <v>160</v>
      </c>
      <c r="L212" s="3"/>
      <c r="M212" s="3"/>
      <c r="N212" s="137"/>
      <c r="O212" s="82"/>
    </row>
    <row r="213" spans="1:25" ht="14.6" x14ac:dyDescent="0.4">
      <c r="A213" s="273"/>
      <c r="B213" s="831" t="str">
        <f t="shared" ref="B213:B241" si="79">LEFT($B212,4)&amp;"-"&amp;VALUE(MID($B212,FIND("-",$B212)+1,256))+1</f>
        <v>6240-2</v>
      </c>
      <c r="C213" s="212" t="s">
        <v>323</v>
      </c>
      <c r="D213" s="299">
        <v>1</v>
      </c>
      <c r="E213" s="283"/>
      <c r="F213" s="300"/>
      <c r="G213" s="116">
        <v>100</v>
      </c>
      <c r="H213" s="380">
        <f t="shared" si="78"/>
        <v>100</v>
      </c>
      <c r="I213" s="417">
        <f ca="1">-(SUMIF(INDIRECT(LEFT($A$211,4)&amp;"!E3:E200"),"="&amp;B213&amp;" *",INDIRECT(LEFT($A$211,4)&amp;"!F3:F200")))</f>
        <v>0</v>
      </c>
      <c r="J213" s="417">
        <f ca="1">SUM(H213:I213)</f>
        <v>100</v>
      </c>
      <c r="K213" s="185">
        <v>100</v>
      </c>
      <c r="L213" s="3"/>
      <c r="M213" s="3"/>
      <c r="N213" s="137"/>
      <c r="O213" s="82"/>
    </row>
    <row r="214" spans="1:25" ht="14.6" x14ac:dyDescent="0.4">
      <c r="A214" s="278" t="s">
        <v>324</v>
      </c>
      <c r="B214" s="832" t="str">
        <f t="shared" si="79"/>
        <v>6240-3</v>
      </c>
      <c r="C214" s="160" t="s">
        <v>325</v>
      </c>
      <c r="D214" s="291"/>
      <c r="E214" s="276"/>
      <c r="F214" s="291">
        <v>12</v>
      </c>
      <c r="G214" s="88">
        <f>(8.99+9.99)</f>
        <v>18.98</v>
      </c>
      <c r="H214" s="376">
        <f t="shared" si="78"/>
        <v>227.76</v>
      </c>
      <c r="I214" s="90">
        <f t="shared" ref="I214:I241" ca="1" si="80">-(SUMIF(INDIRECT(LEFT($A$211,4)&amp;"!E3:E200"),"="&amp;B214&amp;" *",INDIRECT(LEFT($A$211,4)&amp;"!F3:F200")))</f>
        <v>-169.82999999999998</v>
      </c>
      <c r="J214" s="90">
        <f t="shared" ref="J214:J241" ca="1" si="81">SUM(H214:I214)</f>
        <v>57.930000000000007</v>
      </c>
      <c r="K214" s="137">
        <v>227.76</v>
      </c>
      <c r="L214" s="3"/>
      <c r="M214" s="3"/>
      <c r="N214" s="137"/>
      <c r="O214" s="82"/>
    </row>
    <row r="215" spans="1:25" ht="14.6" x14ac:dyDescent="0.4">
      <c r="A215" s="273" t="s">
        <v>326</v>
      </c>
      <c r="B215" s="831" t="str">
        <f t="shared" si="79"/>
        <v>6240-4</v>
      </c>
      <c r="C215" s="264" t="s">
        <v>327</v>
      </c>
      <c r="D215" s="297">
        <v>1</v>
      </c>
      <c r="E215" s="155"/>
      <c r="F215" s="286"/>
      <c r="G215" s="116">
        <v>225</v>
      </c>
      <c r="H215" s="380">
        <f t="shared" si="78"/>
        <v>225</v>
      </c>
      <c r="I215" s="417">
        <f t="shared" ca="1" si="80"/>
        <v>0</v>
      </c>
      <c r="J215" s="417">
        <f t="shared" ca="1" si="81"/>
        <v>225</v>
      </c>
      <c r="K215" s="185">
        <v>212.5</v>
      </c>
      <c r="L215" s="3"/>
      <c r="M215" s="3"/>
      <c r="N215" s="137"/>
      <c r="O215" s="82"/>
    </row>
    <row r="216" spans="1:25" ht="14.6" x14ac:dyDescent="0.4">
      <c r="A216" s="333"/>
      <c r="B216" s="832" t="str">
        <f t="shared" si="79"/>
        <v>6240-5</v>
      </c>
      <c r="C216" s="495" t="s">
        <v>469</v>
      </c>
      <c r="D216" s="276">
        <v>1</v>
      </c>
      <c r="E216" s="276"/>
      <c r="F216" s="293"/>
      <c r="G216" s="88">
        <f>800+1735</f>
        <v>2535</v>
      </c>
      <c r="H216" s="378">
        <f t="shared" si="78"/>
        <v>2535</v>
      </c>
      <c r="I216" s="90">
        <f t="shared" ca="1" si="80"/>
        <v>0</v>
      </c>
      <c r="J216" s="90">
        <f t="shared" ca="1" si="81"/>
        <v>2535</v>
      </c>
      <c r="K216" s="137">
        <f>750+1650</f>
        <v>2400</v>
      </c>
      <c r="L216" s="3"/>
      <c r="M216" s="267"/>
      <c r="N216" s="137"/>
      <c r="O216" s="82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6" x14ac:dyDescent="0.4">
      <c r="A217" s="504" t="s">
        <v>328</v>
      </c>
      <c r="B217" s="831" t="str">
        <f t="shared" si="79"/>
        <v>6240-6</v>
      </c>
      <c r="C217" s="505" t="s">
        <v>470</v>
      </c>
      <c r="D217" s="506">
        <v>1</v>
      </c>
      <c r="E217" s="448"/>
      <c r="F217" s="506"/>
      <c r="G217" s="421">
        <v>200</v>
      </c>
      <c r="H217" s="379">
        <f t="shared" si="78"/>
        <v>200</v>
      </c>
      <c r="I217" s="417">
        <f t="shared" ca="1" si="80"/>
        <v>-99</v>
      </c>
      <c r="J217" s="417">
        <f t="shared" ca="1" si="81"/>
        <v>101</v>
      </c>
      <c r="K217" s="449">
        <v>110</v>
      </c>
      <c r="L217" s="3"/>
      <c r="M217" s="267"/>
      <c r="N217" s="137"/>
      <c r="O217" s="82"/>
    </row>
    <row r="218" spans="1:25" s="491" customFormat="1" ht="14.6" x14ac:dyDescent="0.4">
      <c r="A218" s="434" t="s">
        <v>329</v>
      </c>
      <c r="B218" s="832" t="str">
        <f t="shared" si="79"/>
        <v>6240-7</v>
      </c>
      <c r="C218" s="393" t="s">
        <v>330</v>
      </c>
      <c r="D218" s="444">
        <v>1</v>
      </c>
      <c r="E218" s="444"/>
      <c r="F218" s="443"/>
      <c r="G218" s="401">
        <v>150</v>
      </c>
      <c r="H218" s="378">
        <f t="shared" si="78"/>
        <v>150</v>
      </c>
      <c r="I218" s="90">
        <f t="shared" ca="1" si="80"/>
        <v>-69.95</v>
      </c>
      <c r="J218" s="90">
        <f t="shared" ca="1" si="81"/>
        <v>80.05</v>
      </c>
      <c r="K218" s="437">
        <v>135</v>
      </c>
      <c r="L218" s="433"/>
      <c r="N218" s="442"/>
      <c r="O218" s="490"/>
      <c r="P218" s="433"/>
      <c r="Q218" s="433"/>
      <c r="R218" s="433"/>
      <c r="S218" s="433"/>
      <c r="T218" s="433"/>
      <c r="U218" s="433"/>
      <c r="V218" s="433"/>
      <c r="W218" s="433"/>
      <c r="X218" s="433"/>
      <c r="Y218" s="433"/>
    </row>
    <row r="219" spans="1:25" s="491" customFormat="1" ht="14.6" x14ac:dyDescent="0.4">
      <c r="A219" s="446"/>
      <c r="B219" s="831" t="str">
        <f t="shared" si="79"/>
        <v>6240-8</v>
      </c>
      <c r="C219" s="418" t="s">
        <v>331</v>
      </c>
      <c r="D219" s="448">
        <v>1</v>
      </c>
      <c r="E219" s="448"/>
      <c r="F219" s="447"/>
      <c r="G219" s="421">
        <v>650</v>
      </c>
      <c r="H219" s="379">
        <f t="shared" si="78"/>
        <v>650</v>
      </c>
      <c r="I219" s="417">
        <f t="shared" ca="1" si="80"/>
        <v>-300</v>
      </c>
      <c r="J219" s="417">
        <f t="shared" ca="1" si="81"/>
        <v>350</v>
      </c>
      <c r="K219" s="449">
        <v>650</v>
      </c>
      <c r="L219" s="433"/>
      <c r="N219" s="442"/>
      <c r="O219" s="490"/>
    </row>
    <row r="220" spans="1:25" s="491" customFormat="1" ht="14.6" x14ac:dyDescent="0.4">
      <c r="A220" s="496"/>
      <c r="B220" s="832" t="str">
        <f t="shared" si="79"/>
        <v>6240-9</v>
      </c>
      <c r="C220" s="497" t="s">
        <v>332</v>
      </c>
      <c r="D220" s="498">
        <v>12</v>
      </c>
      <c r="E220" s="435"/>
      <c r="F220" s="499"/>
      <c r="G220" s="401">
        <v>1463</v>
      </c>
      <c r="H220" s="378">
        <f t="shared" si="78"/>
        <v>17556</v>
      </c>
      <c r="I220" s="90">
        <f t="shared" ca="1" si="80"/>
        <v>-22580.739999999998</v>
      </c>
      <c r="J220" s="90">
        <f t="shared" ca="1" si="81"/>
        <v>-5024.739999999998</v>
      </c>
      <c r="K220" s="437">
        <v>17000</v>
      </c>
      <c r="L220" s="433"/>
      <c r="N220" s="442"/>
      <c r="O220" s="490"/>
    </row>
    <row r="221" spans="1:25" s="491" customFormat="1" ht="15" customHeight="1" x14ac:dyDescent="0.4">
      <c r="A221" s="412"/>
      <c r="B221" s="831" t="str">
        <f t="shared" si="79"/>
        <v>6240-10</v>
      </c>
      <c r="C221" s="602" t="s">
        <v>523</v>
      </c>
      <c r="D221" s="473"/>
      <c r="E221" s="507"/>
      <c r="F221" s="508">
        <v>1</v>
      </c>
      <c r="G221" s="421">
        <v>1000</v>
      </c>
      <c r="H221" s="382">
        <f t="shared" ref="H221:H227" si="82">(D221+E221+F221)*G221</f>
        <v>1000</v>
      </c>
      <c r="I221" s="417">
        <f t="shared" ca="1" si="80"/>
        <v>-2196.1</v>
      </c>
      <c r="J221" s="417">
        <f t="shared" ca="1" si="81"/>
        <v>-1196.0999999999999</v>
      </c>
      <c r="K221" s="449">
        <v>1000</v>
      </c>
      <c r="L221" s="433"/>
      <c r="M221" s="433"/>
      <c r="N221" s="442"/>
      <c r="O221" s="490"/>
    </row>
    <row r="222" spans="1:25" s="491" customFormat="1" ht="14.6" x14ac:dyDescent="0.4">
      <c r="A222" s="501" t="s">
        <v>333</v>
      </c>
      <c r="B222" s="832" t="str">
        <f t="shared" si="79"/>
        <v>6240-11</v>
      </c>
      <c r="C222" s="393" t="s">
        <v>334</v>
      </c>
      <c r="D222" s="444">
        <v>1</v>
      </c>
      <c r="E222" s="444"/>
      <c r="F222" s="443"/>
      <c r="G222" s="401">
        <v>5000</v>
      </c>
      <c r="H222" s="378">
        <f t="shared" si="82"/>
        <v>5000</v>
      </c>
      <c r="I222" s="90">
        <f t="shared" ca="1" si="80"/>
        <v>-4900</v>
      </c>
      <c r="J222" s="90">
        <f t="shared" ca="1" si="81"/>
        <v>100</v>
      </c>
      <c r="K222" s="437">
        <v>5000</v>
      </c>
      <c r="L222" s="433"/>
      <c r="M222" s="433"/>
      <c r="N222" s="442"/>
      <c r="O222" s="490"/>
    </row>
    <row r="223" spans="1:25" s="491" customFormat="1" ht="14.6" x14ac:dyDescent="0.4">
      <c r="A223" s="504"/>
      <c r="B223" s="831" t="str">
        <f t="shared" si="79"/>
        <v>6240-12</v>
      </c>
      <c r="C223" s="509" t="s">
        <v>335</v>
      </c>
      <c r="D223" s="506"/>
      <c r="E223" s="448">
        <v>1</v>
      </c>
      <c r="F223" s="506"/>
      <c r="G223" s="421">
        <v>100</v>
      </c>
      <c r="H223" s="382">
        <f t="shared" si="82"/>
        <v>100</v>
      </c>
      <c r="I223" s="417">
        <f t="shared" ca="1" si="80"/>
        <v>0</v>
      </c>
      <c r="J223" s="417">
        <f t="shared" ca="1" si="81"/>
        <v>100</v>
      </c>
      <c r="K223" s="449">
        <v>100</v>
      </c>
      <c r="L223" s="433"/>
      <c r="M223" s="489"/>
      <c r="N223" s="442"/>
      <c r="O223" s="490"/>
    </row>
    <row r="224" spans="1:25" s="491" customFormat="1" ht="14.6" x14ac:dyDescent="0.4">
      <c r="A224" s="434"/>
      <c r="B224" s="832" t="str">
        <f t="shared" si="79"/>
        <v>6240-13</v>
      </c>
      <c r="C224" s="399" t="s">
        <v>336</v>
      </c>
      <c r="D224" s="435"/>
      <c r="E224" s="435"/>
      <c r="F224" s="435">
        <v>4</v>
      </c>
      <c r="G224" s="401">
        <v>400</v>
      </c>
      <c r="H224" s="378">
        <f t="shared" si="82"/>
        <v>1600</v>
      </c>
      <c r="I224" s="90">
        <f t="shared" ca="1" si="80"/>
        <v>-436.5</v>
      </c>
      <c r="J224" s="90">
        <f t="shared" ca="1" si="81"/>
        <v>1163.5</v>
      </c>
      <c r="K224" s="437">
        <v>1600</v>
      </c>
      <c r="L224" s="433"/>
      <c r="M224" s="433"/>
      <c r="N224" s="442"/>
      <c r="O224" s="490"/>
    </row>
    <row r="225" spans="1:25" s="491" customFormat="1" ht="27.75" customHeight="1" x14ac:dyDescent="0.4">
      <c r="A225" s="412" t="s">
        <v>337</v>
      </c>
      <c r="B225" s="831" t="str">
        <f t="shared" si="79"/>
        <v>6240-14</v>
      </c>
      <c r="C225" s="413" t="s">
        <v>338</v>
      </c>
      <c r="D225" s="473">
        <v>1</v>
      </c>
      <c r="E225" s="473"/>
      <c r="F225" s="510"/>
      <c r="G225" s="421">
        <v>75</v>
      </c>
      <c r="H225" s="382">
        <f t="shared" si="82"/>
        <v>75</v>
      </c>
      <c r="I225" s="417">
        <f t="shared" ca="1" si="80"/>
        <v>0</v>
      </c>
      <c r="J225" s="417">
        <f t="shared" ca="1" si="81"/>
        <v>75</v>
      </c>
      <c r="K225" s="449">
        <v>0</v>
      </c>
      <c r="L225" s="433"/>
      <c r="N225" s="442"/>
      <c r="O225" s="490"/>
    </row>
    <row r="226" spans="1:25" s="491" customFormat="1" ht="14.6" x14ac:dyDescent="0.4">
      <c r="A226" s="434"/>
      <c r="B226" s="832" t="str">
        <f t="shared" si="79"/>
        <v>6240-15</v>
      </c>
      <c r="C226" s="393" t="s">
        <v>339</v>
      </c>
      <c r="D226" s="444"/>
      <c r="E226" s="444"/>
      <c r="F226" s="444">
        <v>2</v>
      </c>
      <c r="G226" s="401">
        <v>700</v>
      </c>
      <c r="H226" s="378">
        <f t="shared" si="82"/>
        <v>1400</v>
      </c>
      <c r="I226" s="90">
        <f t="shared" ca="1" si="80"/>
        <v>0</v>
      </c>
      <c r="J226" s="90">
        <f t="shared" ca="1" si="81"/>
        <v>1400</v>
      </c>
      <c r="K226" s="437">
        <v>1400</v>
      </c>
      <c r="L226" s="433"/>
      <c r="M226" s="433"/>
      <c r="N226" s="442"/>
      <c r="O226" s="490"/>
    </row>
    <row r="227" spans="1:25" s="491" customFormat="1" ht="14.6" x14ac:dyDescent="0.4">
      <c r="A227" s="511" t="s">
        <v>328</v>
      </c>
      <c r="B227" s="831" t="str">
        <f t="shared" si="79"/>
        <v>6240-16</v>
      </c>
      <c r="C227" s="512" t="s">
        <v>471</v>
      </c>
      <c r="D227" s="448">
        <v>1</v>
      </c>
      <c r="E227" s="448"/>
      <c r="F227" s="447"/>
      <c r="G227" s="421">
        <f>735+800</f>
        <v>1535</v>
      </c>
      <c r="H227" s="379">
        <f t="shared" si="82"/>
        <v>1535</v>
      </c>
      <c r="I227" s="417">
        <f t="shared" ca="1" si="80"/>
        <v>-719.45</v>
      </c>
      <c r="J227" s="417">
        <f t="shared" ca="1" si="81"/>
        <v>815.55</v>
      </c>
      <c r="K227" s="449">
        <f>700+800</f>
        <v>1500</v>
      </c>
      <c r="L227" s="433"/>
      <c r="N227" s="442"/>
      <c r="O227" s="490"/>
    </row>
    <row r="228" spans="1:25" s="491" customFormat="1" ht="14.6" x14ac:dyDescent="0.4">
      <c r="A228" s="502"/>
      <c r="B228" s="832" t="str">
        <f t="shared" si="79"/>
        <v>6240-17</v>
      </c>
      <c r="C228" s="391" t="s">
        <v>340</v>
      </c>
      <c r="D228" s="500"/>
      <c r="E228" s="500">
        <v>1</v>
      </c>
      <c r="F228" s="503"/>
      <c r="G228" s="388">
        <v>250</v>
      </c>
      <c r="H228" s="389">
        <f>(D228+E228+F228)*G228</f>
        <v>250</v>
      </c>
      <c r="I228" s="90">
        <f t="shared" ca="1" si="80"/>
        <v>-250</v>
      </c>
      <c r="J228" s="90">
        <f t="shared" ca="1" si="81"/>
        <v>0</v>
      </c>
      <c r="K228" s="442">
        <v>250</v>
      </c>
      <c r="L228" s="433"/>
      <c r="M228" s="489"/>
      <c r="N228" s="442"/>
      <c r="O228" s="490"/>
    </row>
    <row r="229" spans="1:25" s="491" customFormat="1" ht="30" customHeight="1" x14ac:dyDescent="0.4">
      <c r="A229" s="513"/>
      <c r="B229" s="831" t="str">
        <f t="shared" si="79"/>
        <v>6240-18</v>
      </c>
      <c r="C229" s="514" t="s">
        <v>341</v>
      </c>
      <c r="D229" s="515">
        <v>1</v>
      </c>
      <c r="E229" s="456"/>
      <c r="F229" s="515"/>
      <c r="G229" s="454">
        <v>6720</v>
      </c>
      <c r="H229" s="382">
        <f>(D229+E229+F229)*G229</f>
        <v>6720</v>
      </c>
      <c r="I229" s="417">
        <f t="shared" ca="1" si="80"/>
        <v>-3949.8500000000004</v>
      </c>
      <c r="J229" s="417">
        <f t="shared" ca="1" si="81"/>
        <v>2770.1499999999996</v>
      </c>
      <c r="K229" s="455">
        <v>6400</v>
      </c>
      <c r="L229" s="433"/>
      <c r="N229" s="442"/>
      <c r="O229" s="490"/>
    </row>
    <row r="230" spans="1:25" ht="14.6" x14ac:dyDescent="0.4">
      <c r="A230" s="278"/>
      <c r="B230" s="832" t="str">
        <f t="shared" si="79"/>
        <v>6240-19</v>
      </c>
      <c r="C230" s="269" t="s">
        <v>342</v>
      </c>
      <c r="D230" s="287"/>
      <c r="E230" s="133"/>
      <c r="F230" s="287">
        <v>1</v>
      </c>
      <c r="G230" s="88">
        <v>3500</v>
      </c>
      <c r="H230" s="376">
        <f t="shared" ref="H230:H233" si="83">(D230+E230+F230)*G230</f>
        <v>3500</v>
      </c>
      <c r="I230" s="90">
        <f t="shared" ca="1" si="80"/>
        <v>-2008.13</v>
      </c>
      <c r="J230" s="90">
        <f t="shared" ca="1" si="81"/>
        <v>1491.87</v>
      </c>
      <c r="K230" s="137">
        <v>3300</v>
      </c>
      <c r="L230" s="225"/>
      <c r="M230" s="3"/>
      <c r="N230" s="137"/>
      <c r="O230" s="82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6" x14ac:dyDescent="0.4">
      <c r="A231" s="552"/>
      <c r="B231" s="831" t="str">
        <f t="shared" si="79"/>
        <v>6240-20</v>
      </c>
      <c r="C231" s="553" t="s">
        <v>343</v>
      </c>
      <c r="D231" s="554">
        <v>22</v>
      </c>
      <c r="E231" s="469"/>
      <c r="F231" s="554"/>
      <c r="G231" s="470">
        <v>70</v>
      </c>
      <c r="H231" s="545">
        <f t="shared" si="83"/>
        <v>1540</v>
      </c>
      <c r="I231" s="417">
        <f t="shared" ca="1" si="80"/>
        <v>-1260</v>
      </c>
      <c r="J231" s="417">
        <f t="shared" ca="1" si="81"/>
        <v>280</v>
      </c>
      <c r="K231" s="471">
        <v>1540</v>
      </c>
      <c r="L231" s="3"/>
      <c r="M231" s="3"/>
      <c r="N231" s="137"/>
      <c r="O231" s="82"/>
    </row>
    <row r="232" spans="1:25" ht="14.6" x14ac:dyDescent="0.4">
      <c r="A232" s="278"/>
      <c r="B232" s="832" t="str">
        <f t="shared" si="79"/>
        <v>6240-21</v>
      </c>
      <c r="C232" s="151" t="s">
        <v>344</v>
      </c>
      <c r="D232" s="126">
        <v>1</v>
      </c>
      <c r="E232" s="133"/>
      <c r="F232" s="285"/>
      <c r="G232" s="102">
        <v>40</v>
      </c>
      <c r="H232" s="376">
        <f t="shared" si="83"/>
        <v>40</v>
      </c>
      <c r="I232" s="90">
        <f t="shared" ca="1" si="80"/>
        <v>0</v>
      </c>
      <c r="J232" s="90">
        <f t="shared" ca="1" si="81"/>
        <v>40</v>
      </c>
      <c r="K232" s="137">
        <v>24</v>
      </c>
      <c r="L232" s="3"/>
      <c r="M232" s="3"/>
      <c r="N232" s="137"/>
      <c r="O232" s="82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6" x14ac:dyDescent="0.4">
      <c r="A233" s="273"/>
      <c r="B233" s="831" t="str">
        <f t="shared" si="79"/>
        <v>6240-22</v>
      </c>
      <c r="C233" s="212" t="s">
        <v>345</v>
      </c>
      <c r="D233" s="283">
        <v>1</v>
      </c>
      <c r="E233" s="283"/>
      <c r="F233" s="292"/>
      <c r="G233" s="116">
        <v>450</v>
      </c>
      <c r="H233" s="382">
        <f t="shared" si="83"/>
        <v>450</v>
      </c>
      <c r="I233" s="417">
        <f t="shared" ca="1" si="80"/>
        <v>0</v>
      </c>
      <c r="J233" s="417">
        <f t="shared" ca="1" si="81"/>
        <v>450</v>
      </c>
      <c r="K233" s="185">
        <v>425</v>
      </c>
      <c r="L233" s="3"/>
      <c r="M233" s="267"/>
      <c r="N233" s="137"/>
      <c r="O233" s="82"/>
    </row>
    <row r="234" spans="1:25" ht="14.6" x14ac:dyDescent="0.4">
      <c r="A234" s="302" t="s">
        <v>328</v>
      </c>
      <c r="B234" s="832" t="str">
        <f t="shared" si="79"/>
        <v>6240-23</v>
      </c>
      <c r="C234" s="151" t="s">
        <v>346</v>
      </c>
      <c r="D234" s="126">
        <v>1</v>
      </c>
      <c r="E234" s="133"/>
      <c r="F234" s="285"/>
      <c r="G234" s="102">
        <v>100</v>
      </c>
      <c r="H234" s="376">
        <f t="shared" ref="H234:H241" si="84">(D234+E234+F234)*G234</f>
        <v>100</v>
      </c>
      <c r="I234" s="90">
        <f t="shared" ca="1" si="80"/>
        <v>0</v>
      </c>
      <c r="J234" s="90">
        <f t="shared" ca="1" si="81"/>
        <v>100</v>
      </c>
      <c r="K234" s="137">
        <v>85</v>
      </c>
      <c r="L234" s="3"/>
      <c r="M234" s="3"/>
      <c r="N234" s="137"/>
      <c r="O234" s="82"/>
    </row>
    <row r="235" spans="1:25" ht="14.6" x14ac:dyDescent="0.4">
      <c r="A235" s="273"/>
      <c r="B235" s="831" t="str">
        <f t="shared" si="79"/>
        <v>6240-24</v>
      </c>
      <c r="C235" s="212" t="s">
        <v>347</v>
      </c>
      <c r="D235" s="129">
        <v>1</v>
      </c>
      <c r="E235" s="283"/>
      <c r="F235" s="292"/>
      <c r="G235" s="162">
        <v>85</v>
      </c>
      <c r="H235" s="380">
        <f t="shared" si="84"/>
        <v>85</v>
      </c>
      <c r="I235" s="417">
        <f t="shared" ca="1" si="80"/>
        <v>0</v>
      </c>
      <c r="J235" s="417">
        <f t="shared" ca="1" si="81"/>
        <v>85</v>
      </c>
      <c r="K235" s="185">
        <v>75</v>
      </c>
      <c r="L235" s="3"/>
      <c r="M235" s="3"/>
      <c r="N235" s="137"/>
      <c r="O235" s="82"/>
    </row>
    <row r="236" spans="1:25" ht="14.6" x14ac:dyDescent="0.4">
      <c r="A236" s="278"/>
      <c r="B236" s="832" t="str">
        <f t="shared" si="79"/>
        <v>6240-25</v>
      </c>
      <c r="C236" s="160" t="s">
        <v>348</v>
      </c>
      <c r="D236" s="276">
        <v>1</v>
      </c>
      <c r="E236" s="276"/>
      <c r="F236" s="293"/>
      <c r="G236" s="88">
        <v>560</v>
      </c>
      <c r="H236" s="378">
        <f t="shared" si="84"/>
        <v>560</v>
      </c>
      <c r="I236" s="90">
        <f t="shared" ca="1" si="80"/>
        <v>0</v>
      </c>
      <c r="J236" s="90">
        <f t="shared" ca="1" si="81"/>
        <v>560</v>
      </c>
      <c r="K236" s="137">
        <v>560</v>
      </c>
      <c r="L236" s="3"/>
      <c r="M236" s="267"/>
      <c r="N236" s="137"/>
      <c r="O236" s="82"/>
    </row>
    <row r="237" spans="1:25" ht="14.6" x14ac:dyDescent="0.4">
      <c r="A237" s="273"/>
      <c r="B237" s="831" t="str">
        <f t="shared" si="79"/>
        <v>6240-26</v>
      </c>
      <c r="C237" s="212" t="s">
        <v>349</v>
      </c>
      <c r="D237" s="283">
        <v>1</v>
      </c>
      <c r="E237" s="283"/>
      <c r="F237" s="292"/>
      <c r="G237" s="116">
        <v>225</v>
      </c>
      <c r="H237" s="380">
        <f t="shared" si="84"/>
        <v>225</v>
      </c>
      <c r="I237" s="417">
        <f t="shared" ca="1" si="80"/>
        <v>-200</v>
      </c>
      <c r="J237" s="417">
        <f t="shared" ca="1" si="81"/>
        <v>25</v>
      </c>
      <c r="K237" s="185">
        <v>200</v>
      </c>
      <c r="L237" s="3"/>
      <c r="M237" s="267"/>
      <c r="N237" s="137"/>
      <c r="O237" s="82"/>
    </row>
    <row r="238" spans="1:25" ht="14.6" x14ac:dyDescent="0.4">
      <c r="A238" s="278"/>
      <c r="B238" s="832" t="str">
        <f t="shared" si="79"/>
        <v>6240-27</v>
      </c>
      <c r="C238" s="151" t="s">
        <v>350</v>
      </c>
      <c r="D238" s="133">
        <v>1</v>
      </c>
      <c r="E238" s="133"/>
      <c r="F238" s="285"/>
      <c r="G238" s="88">
        <v>125</v>
      </c>
      <c r="H238" s="378">
        <f t="shared" si="84"/>
        <v>125</v>
      </c>
      <c r="I238" s="90">
        <f t="shared" ca="1" si="80"/>
        <v>-199</v>
      </c>
      <c r="J238" s="90">
        <f t="shared" ca="1" si="81"/>
        <v>-74</v>
      </c>
      <c r="K238" s="137">
        <v>100</v>
      </c>
      <c r="L238" s="335"/>
      <c r="M238" s="267"/>
      <c r="N238" s="137"/>
      <c r="O238" s="82"/>
    </row>
    <row r="239" spans="1:25" ht="14.6" x14ac:dyDescent="0.4">
      <c r="A239" s="273"/>
      <c r="B239" s="831" t="str">
        <f t="shared" si="79"/>
        <v>6240-28</v>
      </c>
      <c r="C239" s="212" t="s">
        <v>351</v>
      </c>
      <c r="D239" s="283">
        <v>1</v>
      </c>
      <c r="E239" s="283"/>
      <c r="F239" s="300"/>
      <c r="G239" s="116">
        <v>225</v>
      </c>
      <c r="H239" s="380">
        <f t="shared" si="84"/>
        <v>225</v>
      </c>
      <c r="I239" s="417">
        <f t="shared" ca="1" si="80"/>
        <v>-149.94999999999999</v>
      </c>
      <c r="J239" s="417">
        <f t="shared" ca="1" si="81"/>
        <v>75.050000000000011</v>
      </c>
      <c r="K239" s="185">
        <v>200</v>
      </c>
      <c r="L239" s="3"/>
      <c r="M239" s="267"/>
      <c r="N239" s="137"/>
      <c r="O239" s="82"/>
    </row>
    <row r="240" spans="1:25" ht="14.6" x14ac:dyDescent="0.4">
      <c r="A240" s="334"/>
      <c r="B240" s="832" t="str">
        <f t="shared" si="79"/>
        <v>6240-29</v>
      </c>
      <c r="C240" s="84" t="s">
        <v>352</v>
      </c>
      <c r="D240" s="291">
        <v>1</v>
      </c>
      <c r="E240" s="276"/>
      <c r="F240" s="291"/>
      <c r="G240" s="88">
        <v>625</v>
      </c>
      <c r="H240" s="378">
        <f t="shared" si="84"/>
        <v>625</v>
      </c>
      <c r="I240" s="90">
        <f t="shared" ca="1" si="80"/>
        <v>-795</v>
      </c>
      <c r="J240" s="90">
        <f t="shared" ca="1" si="81"/>
        <v>-170</v>
      </c>
      <c r="K240" s="137">
        <v>600</v>
      </c>
      <c r="L240" s="3"/>
      <c r="M240" s="267"/>
      <c r="N240" s="137"/>
      <c r="O240" s="82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6" x14ac:dyDescent="0.4">
      <c r="A241" s="273"/>
      <c r="B241" s="831" t="str">
        <f t="shared" si="79"/>
        <v>6240-30</v>
      </c>
      <c r="C241" s="142" t="s">
        <v>353</v>
      </c>
      <c r="D241" s="155">
        <v>1</v>
      </c>
      <c r="E241" s="155"/>
      <c r="F241" s="286"/>
      <c r="G241" s="116">
        <v>200</v>
      </c>
      <c r="H241" s="380">
        <f t="shared" si="84"/>
        <v>200</v>
      </c>
      <c r="I241" s="417">
        <f t="shared" ca="1" si="80"/>
        <v>-160</v>
      </c>
      <c r="J241" s="417">
        <f t="shared" ca="1" si="81"/>
        <v>40</v>
      </c>
      <c r="K241" s="185">
        <v>165</v>
      </c>
      <c r="L241" s="3"/>
      <c r="M241" s="267"/>
      <c r="N241" s="137"/>
      <c r="O241" s="82"/>
    </row>
    <row r="242" spans="1:25" ht="14.6" x14ac:dyDescent="0.4">
      <c r="A242" s="216"/>
      <c r="B242" s="438"/>
      <c r="C242" s="217" t="s">
        <v>71</v>
      </c>
      <c r="D242" s="287"/>
      <c r="E242" s="133"/>
      <c r="F242" s="49" t="s">
        <v>49</v>
      </c>
      <c r="G242" s="424">
        <f>SUM('3% Overview'!K20)</f>
        <v>3.2822757111597371E-2</v>
      </c>
      <c r="H242" s="377">
        <f>SUM(H212:H241)</f>
        <v>47158.76</v>
      </c>
      <c r="I242" s="141">
        <f t="shared" ref="I242:J242" ca="1" si="85">SUM(I212:I241)</f>
        <v>-40593.44999999999</v>
      </c>
      <c r="J242" s="141">
        <f t="shared" ca="1" si="85"/>
        <v>6565.3100000000022</v>
      </c>
      <c r="K242" s="288">
        <f>SUM(K212:K241)</f>
        <v>45519.26</v>
      </c>
      <c r="L242" s="3"/>
      <c r="M242" s="3"/>
      <c r="N242" s="3"/>
      <c r="O242" s="82"/>
    </row>
    <row r="243" spans="1:25" ht="9.75" customHeight="1" x14ac:dyDescent="0.4">
      <c r="A243" s="131"/>
      <c r="B243" s="832"/>
      <c r="C243" s="221"/>
      <c r="D243" s="332"/>
      <c r="E243" s="145"/>
      <c r="F243" s="332"/>
      <c r="G243" s="147"/>
      <c r="H243" s="475"/>
      <c r="I243" s="223"/>
      <c r="J243" s="223"/>
      <c r="K243" s="223"/>
      <c r="L243" s="3"/>
      <c r="M243" s="3"/>
      <c r="N243" s="3"/>
      <c r="O243" s="82"/>
    </row>
    <row r="244" spans="1:25" ht="19.5" customHeight="1" x14ac:dyDescent="0.5">
      <c r="A244" s="897" t="s">
        <v>354</v>
      </c>
      <c r="B244" s="900"/>
      <c r="C244" s="898"/>
      <c r="D244" s="898"/>
      <c r="E244" s="898"/>
      <c r="F244" s="898"/>
      <c r="G244" s="898"/>
      <c r="H244" s="898"/>
      <c r="I244" s="898" t="e">
        <f t="shared" ref="I244:I248" ca="1" si="86">-(SUMIF(INDIRECT(LEFT($A$224,4)&amp;"!E3:E200"),"="&amp;B244&amp;" *",INDIRECT(LEFT($A$224,4)&amp;"!F3:F200")))</f>
        <v>#REF!</v>
      </c>
      <c r="J244" s="898" t="e">
        <f t="shared" ref="J244:J250" ca="1" si="87">SUM(H244:I244)</f>
        <v>#REF!</v>
      </c>
      <c r="K244" s="899"/>
      <c r="L244" s="336"/>
      <c r="M244" s="3"/>
      <c r="N244" s="3"/>
      <c r="O244" s="82"/>
    </row>
    <row r="245" spans="1:25" ht="14.6" x14ac:dyDescent="0.4">
      <c r="A245" s="171"/>
      <c r="B245" s="438" t="str">
        <f>LEFT($A244,4)&amp;"-1"</f>
        <v>6250-1</v>
      </c>
      <c r="C245" s="227" t="s">
        <v>355</v>
      </c>
      <c r="D245" s="287"/>
      <c r="E245" s="133"/>
      <c r="F245" s="298">
        <v>1</v>
      </c>
      <c r="G245" s="107">
        <v>500</v>
      </c>
      <c r="H245" s="376">
        <f>(D245+E245+F245)*G245</f>
        <v>500</v>
      </c>
      <c r="I245" s="90">
        <f ca="1">-(SUMIF(INDIRECT(LEFT(A244,4)&amp;"!E3:E200"),"="&amp;B245&amp;" *",INDIRECT(LEFT(A244,4)&amp;"!F3:F200")))</f>
        <v>0</v>
      </c>
      <c r="J245" s="90">
        <f t="shared" ca="1" si="87"/>
        <v>500</v>
      </c>
      <c r="K245" s="90">
        <v>500</v>
      </c>
      <c r="L245" s="172"/>
      <c r="M245" s="3"/>
      <c r="N245" s="137"/>
      <c r="O245" s="82"/>
    </row>
    <row r="246" spans="1:25" ht="14.6" x14ac:dyDescent="0.4">
      <c r="A246" s="96"/>
      <c r="B246" s="833"/>
      <c r="C246" s="217" t="s">
        <v>71</v>
      </c>
      <c r="D246" s="287"/>
      <c r="E246" s="133"/>
      <c r="F246" s="337"/>
      <c r="G246" s="424">
        <f>SUM('3% Overview'!K21)</f>
        <v>0</v>
      </c>
      <c r="H246" s="377">
        <f>SUM(H245)</f>
        <v>500</v>
      </c>
      <c r="I246" s="377">
        <f t="shared" ref="I246:J246" ca="1" si="88">SUM(I245)</f>
        <v>0</v>
      </c>
      <c r="J246" s="377">
        <f t="shared" ca="1" si="88"/>
        <v>500</v>
      </c>
      <c r="K246" s="141">
        <f>SUM(K245)</f>
        <v>500</v>
      </c>
      <c r="L246" s="172"/>
      <c r="M246" s="3"/>
      <c r="N246" s="3"/>
      <c r="O246" s="82"/>
    </row>
    <row r="247" spans="1:25" ht="9.75" customHeight="1" x14ac:dyDescent="0.4">
      <c r="A247" s="131"/>
      <c r="B247" s="438"/>
      <c r="C247" s="131"/>
      <c r="D247" s="332"/>
      <c r="E247" s="145"/>
      <c r="F247" s="332"/>
      <c r="G247" s="147"/>
      <c r="H247" s="476"/>
      <c r="I247" s="96"/>
      <c r="J247" s="96"/>
      <c r="K247" s="96"/>
      <c r="L247" s="3"/>
      <c r="M247" s="3"/>
      <c r="N247" s="3"/>
      <c r="O247" s="82"/>
    </row>
    <row r="248" spans="1:25" ht="19.5" customHeight="1" x14ac:dyDescent="0.5">
      <c r="A248" s="897" t="s">
        <v>356</v>
      </c>
      <c r="B248" s="900"/>
      <c r="C248" s="898"/>
      <c r="D248" s="898"/>
      <c r="E248" s="898"/>
      <c r="F248" s="898"/>
      <c r="G248" s="898"/>
      <c r="H248" s="898"/>
      <c r="I248" s="898" t="e">
        <f t="shared" ca="1" si="86"/>
        <v>#REF!</v>
      </c>
      <c r="J248" s="898" t="e">
        <f t="shared" ca="1" si="87"/>
        <v>#REF!</v>
      </c>
      <c r="K248" s="899"/>
      <c r="L248" s="3"/>
      <c r="M248" s="3"/>
      <c r="N248" s="3"/>
      <c r="O248" s="82"/>
    </row>
    <row r="249" spans="1:25" ht="14.6" x14ac:dyDescent="0.4">
      <c r="A249" s="278"/>
      <c r="B249" s="837" t="str">
        <f>LEFT($A248,4)&amp;"-1"</f>
        <v>6260-1</v>
      </c>
      <c r="C249" s="227" t="s">
        <v>357</v>
      </c>
      <c r="D249" s="287"/>
      <c r="E249" s="133"/>
      <c r="F249" s="298">
        <v>1</v>
      </c>
      <c r="G249" s="88">
        <v>10000</v>
      </c>
      <c r="H249" s="376">
        <f t="shared" ref="H249:H257" si="89">(D249+E249+F249)*G249</f>
        <v>10000</v>
      </c>
      <c r="I249" s="90">
        <f ca="1">-(SUMIF(INDIRECT(LEFT($A$248,4)&amp;"!E3:E200"),"="&amp;B249&amp;" *",INDIRECT(LEFT($A$248,4)&amp;"!F3:F200")))</f>
        <v>-6700</v>
      </c>
      <c r="J249" s="90">
        <f t="shared" ca="1" si="87"/>
        <v>3300</v>
      </c>
      <c r="K249" s="137">
        <v>10000</v>
      </c>
      <c r="L249" s="3"/>
      <c r="M249" s="3"/>
      <c r="N249" s="137"/>
      <c r="O249" s="82"/>
    </row>
    <row r="250" spans="1:25" ht="14.6" x14ac:dyDescent="0.4">
      <c r="A250" s="541"/>
      <c r="B250" s="838" t="str">
        <f t="shared" ref="B250:B265" si="90">LEFT($B249,4)&amp;"-"&amp;VALUE(MID($B249,FIND("-",$B249)+1,256))+1</f>
        <v>6260-2</v>
      </c>
      <c r="C250" s="542" t="s">
        <v>478</v>
      </c>
      <c r="D250" s="543"/>
      <c r="E250" s="544"/>
      <c r="F250" s="543">
        <v>1</v>
      </c>
      <c r="G250" s="470">
        <v>35000</v>
      </c>
      <c r="H250" s="545">
        <f t="shared" si="89"/>
        <v>35000</v>
      </c>
      <c r="I250" s="563">
        <f ca="1">-(SUMIF(INDIRECT(LEFT($A$248,4)&amp;"!E3:E200"),"="&amp;B250&amp;" *",INDIRECT(LEFT($A$248,4)&amp;"!F3:F200")))</f>
        <v>-5550</v>
      </c>
      <c r="J250" s="563">
        <f t="shared" ca="1" si="87"/>
        <v>29450</v>
      </c>
      <c r="K250" s="471">
        <v>31000</v>
      </c>
      <c r="L250" s="3"/>
      <c r="M250" s="3"/>
      <c r="N250" s="137"/>
      <c r="O250" s="82"/>
    </row>
    <row r="251" spans="1:25" s="491" customFormat="1" ht="14.6" x14ac:dyDescent="0.4">
      <c r="A251" s="603" t="s">
        <v>552</v>
      </c>
      <c r="B251" s="438" t="str">
        <f t="shared" si="90"/>
        <v>6260-3</v>
      </c>
      <c r="C251" s="719" t="s">
        <v>551</v>
      </c>
      <c r="D251" s="444"/>
      <c r="E251" s="444">
        <v>12</v>
      </c>
      <c r="F251" s="443"/>
      <c r="G251" s="401">
        <v>1400</v>
      </c>
      <c r="H251" s="378">
        <f>(D251+E251+F251)*G251</f>
        <v>16800</v>
      </c>
      <c r="I251" s="90">
        <f t="shared" ref="I251:I265" ca="1" si="91">-(SUMIF(INDIRECT(LEFT($A$248,4)&amp;"!E3:E200"),"="&amp;B251&amp;" *",INDIRECT(LEFT($A$248,4)&amp;"!F3:F200")))</f>
        <v>-16800</v>
      </c>
      <c r="J251" s="90">
        <f t="shared" ref="J251:J265" ca="1" si="92">SUM(H251:I251)</f>
        <v>0</v>
      </c>
      <c r="K251" s="437">
        <v>25000</v>
      </c>
      <c r="L251" s="433"/>
      <c r="M251" s="489"/>
      <c r="N251" s="442"/>
      <c r="O251" s="490"/>
      <c r="P251" s="433"/>
      <c r="Q251" s="433"/>
      <c r="R251" s="433"/>
      <c r="S251" s="433"/>
      <c r="T251" s="433"/>
      <c r="U251" s="433"/>
      <c r="V251" s="433"/>
      <c r="W251" s="433"/>
      <c r="X251" s="433"/>
      <c r="Y251" s="433"/>
    </row>
    <row r="252" spans="1:25" s="491" customFormat="1" ht="14.6" x14ac:dyDescent="0.4">
      <c r="A252" s="785" t="s">
        <v>517</v>
      </c>
      <c r="B252" s="838" t="str">
        <f t="shared" si="90"/>
        <v>6260-4</v>
      </c>
      <c r="C252" s="684" t="s">
        <v>561</v>
      </c>
      <c r="D252" s="786">
        <v>1</v>
      </c>
      <c r="E252" s="786"/>
      <c r="F252" s="787"/>
      <c r="G252" s="788">
        <v>13500</v>
      </c>
      <c r="H252" s="379">
        <f>(D252+E252+F252)*G252</f>
        <v>13500</v>
      </c>
      <c r="I252" s="563">
        <f t="shared" ca="1" si="91"/>
        <v>0</v>
      </c>
      <c r="J252" s="563">
        <f t="shared" ca="1" si="92"/>
        <v>13500</v>
      </c>
      <c r="K252" s="455">
        <v>0</v>
      </c>
      <c r="L252" s="433"/>
      <c r="M252" s="489"/>
      <c r="N252" s="442"/>
      <c r="O252" s="490"/>
      <c r="P252" s="433"/>
      <c r="Q252" s="433"/>
      <c r="R252" s="433"/>
      <c r="S252" s="433"/>
      <c r="T252" s="433"/>
      <c r="U252" s="433"/>
      <c r="V252" s="433"/>
      <c r="W252" s="433"/>
      <c r="X252" s="433"/>
      <c r="Y252" s="433"/>
    </row>
    <row r="253" spans="1:25" s="491" customFormat="1" ht="14.6" x14ac:dyDescent="0.4">
      <c r="A253" s="434"/>
      <c r="B253" s="834" t="str">
        <f t="shared" si="90"/>
        <v>6260-5</v>
      </c>
      <c r="C253" s="393" t="s">
        <v>358</v>
      </c>
      <c r="D253" s="780">
        <v>1</v>
      </c>
      <c r="E253" s="444"/>
      <c r="F253" s="445"/>
      <c r="G253" s="401">
        <v>5000</v>
      </c>
      <c r="H253" s="378">
        <f t="shared" si="89"/>
        <v>5000</v>
      </c>
      <c r="I253" s="90">
        <f t="shared" ca="1" si="91"/>
        <v>0</v>
      </c>
      <c r="J253" s="90">
        <f t="shared" ca="1" si="92"/>
        <v>5000</v>
      </c>
      <c r="K253" s="401">
        <v>5000</v>
      </c>
      <c r="L253" s="433"/>
      <c r="M253" s="489"/>
      <c r="N253" s="442"/>
      <c r="O253" s="490"/>
    </row>
    <row r="254" spans="1:25" s="491" customFormat="1" ht="14.6" x14ac:dyDescent="0.4">
      <c r="A254" s="446"/>
      <c r="B254" s="838" t="str">
        <f t="shared" si="90"/>
        <v>6260-6</v>
      </c>
      <c r="C254" s="648" t="s">
        <v>359</v>
      </c>
      <c r="D254" s="647">
        <v>1</v>
      </c>
      <c r="E254" s="448"/>
      <c r="F254" s="506"/>
      <c r="G254" s="421">
        <v>66084</v>
      </c>
      <c r="H254" s="382">
        <f t="shared" si="89"/>
        <v>66084</v>
      </c>
      <c r="I254" s="563">
        <f t="shared" ca="1" si="91"/>
        <v>-66280.290000000008</v>
      </c>
      <c r="J254" s="563">
        <f t="shared" ca="1" si="92"/>
        <v>-196.29000000000815</v>
      </c>
      <c r="K254" s="421">
        <v>66084</v>
      </c>
      <c r="L254" s="433"/>
      <c r="M254" s="489"/>
      <c r="N254" s="442"/>
      <c r="O254" s="490"/>
    </row>
    <row r="255" spans="1:25" ht="14.6" x14ac:dyDescent="0.4">
      <c r="A255" s="781"/>
      <c r="B255" s="839" t="str">
        <f t="shared" si="90"/>
        <v>6260-7</v>
      </c>
      <c r="C255" s="782" t="s">
        <v>553</v>
      </c>
      <c r="D255" s="610"/>
      <c r="E255" s="500">
        <v>1</v>
      </c>
      <c r="F255" s="610"/>
      <c r="G255" s="388">
        <v>43000</v>
      </c>
      <c r="H255" s="389">
        <v>45000</v>
      </c>
      <c r="I255" s="90">
        <f t="shared" ca="1" si="91"/>
        <v>-4288.3</v>
      </c>
      <c r="J255" s="90">
        <f t="shared" ca="1" si="92"/>
        <v>40711.699999999997</v>
      </c>
      <c r="K255" s="442">
        <v>35000</v>
      </c>
      <c r="L255" s="3"/>
      <c r="M255" s="17"/>
      <c r="N255" s="137"/>
      <c r="O255" s="82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s="491" customFormat="1" ht="14.6" x14ac:dyDescent="0.4">
      <c r="A256" s="451"/>
      <c r="B256" s="785" t="str">
        <f t="shared" si="90"/>
        <v>6260-8</v>
      </c>
      <c r="C256" s="562" t="s">
        <v>360</v>
      </c>
      <c r="D256" s="789"/>
      <c r="E256" s="453">
        <v>1</v>
      </c>
      <c r="F256" s="459"/>
      <c r="G256" s="454">
        <v>1500</v>
      </c>
      <c r="H256" s="379">
        <f t="shared" si="89"/>
        <v>1500</v>
      </c>
      <c r="I256" s="563">
        <f t="shared" ca="1" si="91"/>
        <v>-1500</v>
      </c>
      <c r="J256" s="563">
        <f t="shared" ca="1" si="92"/>
        <v>0</v>
      </c>
      <c r="K256" s="454">
        <v>1500</v>
      </c>
      <c r="L256" s="433"/>
      <c r="M256" s="433"/>
      <c r="N256" s="442"/>
      <c r="O256" s="490"/>
      <c r="P256" s="433"/>
      <c r="Q256" s="433"/>
      <c r="R256" s="433"/>
      <c r="S256" s="433"/>
      <c r="T256" s="433"/>
      <c r="U256" s="433"/>
      <c r="V256" s="433"/>
      <c r="W256" s="433"/>
      <c r="X256" s="433"/>
      <c r="Y256" s="433"/>
    </row>
    <row r="257" spans="1:27" s="491" customFormat="1" ht="14.6" x14ac:dyDescent="0.4">
      <c r="A257" s="438"/>
      <c r="B257" s="839" t="str">
        <f t="shared" si="90"/>
        <v>6260-9</v>
      </c>
      <c r="C257" s="398" t="s">
        <v>361</v>
      </c>
      <c r="D257" s="564"/>
      <c r="E257" s="441"/>
      <c r="F257" s="564">
        <v>5</v>
      </c>
      <c r="G257" s="388">
        <v>45</v>
      </c>
      <c r="H257" s="389">
        <f t="shared" si="89"/>
        <v>225</v>
      </c>
      <c r="I257" s="90">
        <f t="shared" ca="1" si="91"/>
        <v>-826.37</v>
      </c>
      <c r="J257" s="90">
        <f t="shared" ca="1" si="92"/>
        <v>-601.37</v>
      </c>
      <c r="K257" s="442">
        <v>225</v>
      </c>
      <c r="L257" s="433"/>
      <c r="M257" s="433"/>
      <c r="N257" s="442"/>
      <c r="O257" s="490"/>
      <c r="P257" s="433"/>
      <c r="Q257" s="433"/>
      <c r="R257" s="433"/>
      <c r="S257" s="433"/>
      <c r="T257" s="433"/>
      <c r="U257" s="433"/>
      <c r="V257" s="433"/>
      <c r="W257" s="433"/>
      <c r="X257" s="433"/>
      <c r="Y257" s="433"/>
    </row>
    <row r="258" spans="1:27" s="491" customFormat="1" ht="14.6" x14ac:dyDescent="0.4">
      <c r="A258" s="451"/>
      <c r="B258" s="785" t="str">
        <f t="shared" si="90"/>
        <v>6260-10</v>
      </c>
      <c r="C258" s="458" t="s">
        <v>362</v>
      </c>
      <c r="D258" s="459"/>
      <c r="E258" s="453"/>
      <c r="F258" s="459">
        <v>1</v>
      </c>
      <c r="G258" s="454">
        <v>300000</v>
      </c>
      <c r="H258" s="382">
        <f>(D258+E258+F258)*G258</f>
        <v>300000</v>
      </c>
      <c r="I258" s="563">
        <f t="shared" ca="1" si="91"/>
        <v>-363330.43999999994</v>
      </c>
      <c r="J258" s="563">
        <f t="shared" ca="1" si="92"/>
        <v>-63330.439999999944</v>
      </c>
      <c r="K258" s="455">
        <v>300000</v>
      </c>
      <c r="L258" s="433"/>
      <c r="M258" s="433"/>
      <c r="N258" s="442"/>
      <c r="O258" s="490"/>
      <c r="P258" s="433"/>
      <c r="Q258" s="433"/>
      <c r="R258" s="433"/>
      <c r="S258" s="433"/>
      <c r="T258" s="433"/>
      <c r="U258" s="433"/>
      <c r="V258" s="433"/>
      <c r="W258" s="433"/>
      <c r="X258" s="433"/>
      <c r="Y258" s="433"/>
    </row>
    <row r="259" spans="1:27" s="491" customFormat="1" ht="14.6" x14ac:dyDescent="0.4">
      <c r="A259" s="783"/>
      <c r="B259" s="839" t="str">
        <f t="shared" si="90"/>
        <v>6260-11</v>
      </c>
      <c r="C259" s="674" t="s">
        <v>363</v>
      </c>
      <c r="D259" s="784">
        <v>1</v>
      </c>
      <c r="E259" s="500"/>
      <c r="F259" s="594"/>
      <c r="G259" s="388">
        <v>76050</v>
      </c>
      <c r="H259" s="389">
        <f t="shared" ref="H259:H264" si="93">(D259+E259+F259)*G259</f>
        <v>76050</v>
      </c>
      <c r="I259" s="90">
        <f t="shared" ca="1" si="91"/>
        <v>-76050</v>
      </c>
      <c r="J259" s="90">
        <f t="shared" ca="1" si="92"/>
        <v>0</v>
      </c>
      <c r="K259" s="442">
        <v>76050</v>
      </c>
      <c r="L259" s="433"/>
      <c r="M259" s="433"/>
      <c r="N259" s="442"/>
      <c r="O259" s="649"/>
      <c r="P259" s="433"/>
      <c r="Q259" s="433"/>
      <c r="R259" s="433"/>
      <c r="S259" s="433"/>
      <c r="T259" s="433"/>
      <c r="U259" s="433"/>
      <c r="V259" s="433"/>
      <c r="W259" s="433"/>
      <c r="X259" s="433"/>
      <c r="Y259" s="433"/>
    </row>
    <row r="260" spans="1:27" s="491" customFormat="1" ht="14.6" x14ac:dyDescent="0.4">
      <c r="A260" s="451" t="s">
        <v>364</v>
      </c>
      <c r="B260" s="785" t="str">
        <f t="shared" si="90"/>
        <v>6260-12</v>
      </c>
      <c r="C260" s="514" t="s">
        <v>365</v>
      </c>
      <c r="D260" s="515"/>
      <c r="E260" s="456">
        <v>1</v>
      </c>
      <c r="F260" s="515"/>
      <c r="G260" s="454">
        <v>197817</v>
      </c>
      <c r="H260" s="379">
        <f t="shared" si="93"/>
        <v>197817</v>
      </c>
      <c r="I260" s="563">
        <f t="shared" ca="1" si="91"/>
        <v>-197817</v>
      </c>
      <c r="J260" s="563">
        <f t="shared" ca="1" si="92"/>
        <v>0</v>
      </c>
      <c r="K260" s="455">
        <v>189905</v>
      </c>
      <c r="L260" s="650"/>
      <c r="M260" s="433"/>
      <c r="N260" s="442"/>
      <c r="O260" s="490"/>
      <c r="P260" s="433"/>
      <c r="Q260" s="433"/>
      <c r="R260" s="433"/>
      <c r="S260" s="433"/>
      <c r="T260" s="433"/>
      <c r="U260" s="433"/>
      <c r="V260" s="433"/>
      <c r="W260" s="433"/>
      <c r="X260" s="433"/>
      <c r="Y260" s="433"/>
    </row>
    <row r="261" spans="1:27" s="491" customFormat="1" ht="14.6" x14ac:dyDescent="0.4">
      <c r="A261" s="438" t="s">
        <v>563</v>
      </c>
      <c r="B261" s="839" t="str">
        <f t="shared" si="90"/>
        <v>6260-13</v>
      </c>
      <c r="C261" s="691" t="s">
        <v>366</v>
      </c>
      <c r="D261" s="692"/>
      <c r="E261" s="441"/>
      <c r="F261" s="564"/>
      <c r="G261" s="388">
        <v>9200</v>
      </c>
      <c r="H261" s="389">
        <f t="shared" si="93"/>
        <v>0</v>
      </c>
      <c r="I261" s="90">
        <f t="shared" ca="1" si="91"/>
        <v>0</v>
      </c>
      <c r="J261" s="90">
        <f t="shared" ca="1" si="92"/>
        <v>0</v>
      </c>
      <c r="K261" s="388">
        <v>9200</v>
      </c>
      <c r="L261" s="433"/>
      <c r="M261" s="433"/>
      <c r="N261" s="442"/>
      <c r="O261" s="490"/>
      <c r="P261" s="433"/>
      <c r="Q261" s="433"/>
      <c r="R261" s="433"/>
      <c r="S261" s="433"/>
      <c r="T261" s="433"/>
      <c r="U261" s="433"/>
      <c r="V261" s="433"/>
      <c r="W261" s="433"/>
      <c r="X261" s="433"/>
      <c r="Y261" s="433"/>
      <c r="Z261" s="433"/>
      <c r="AA261" s="433"/>
    </row>
    <row r="262" spans="1:27" s="491" customFormat="1" ht="14.6" x14ac:dyDescent="0.4">
      <c r="A262" s="451"/>
      <c r="B262" s="785" t="str">
        <f t="shared" si="90"/>
        <v>6260-14</v>
      </c>
      <c r="C262" s="562" t="s">
        <v>1665</v>
      </c>
      <c r="D262" s="790"/>
      <c r="E262" s="453">
        <v>12</v>
      </c>
      <c r="F262" s="452"/>
      <c r="G262" s="454">
        <v>100</v>
      </c>
      <c r="H262" s="379">
        <f t="shared" si="93"/>
        <v>1200</v>
      </c>
      <c r="I262" s="563">
        <f t="shared" ca="1" si="91"/>
        <v>-650.6</v>
      </c>
      <c r="J262" s="563">
        <f t="shared" ca="1" si="92"/>
        <v>549.4</v>
      </c>
      <c r="K262" s="455">
        <v>1200</v>
      </c>
      <c r="L262" s="433"/>
      <c r="M262" s="489"/>
      <c r="N262" s="442"/>
      <c r="O262" s="490"/>
      <c r="P262" s="489"/>
    </row>
    <row r="263" spans="1:27" s="491" customFormat="1" ht="14.6" x14ac:dyDescent="0.4">
      <c r="A263" s="438"/>
      <c r="B263" s="839" t="str">
        <f t="shared" si="90"/>
        <v>6260-15</v>
      </c>
      <c r="C263" s="398" t="s">
        <v>367</v>
      </c>
      <c r="D263" s="564"/>
      <c r="E263" s="441">
        <v>12</v>
      </c>
      <c r="F263" s="564"/>
      <c r="G263" s="388">
        <v>5000</v>
      </c>
      <c r="H263" s="389">
        <f t="shared" si="93"/>
        <v>60000</v>
      </c>
      <c r="I263" s="90">
        <f t="shared" ca="1" si="91"/>
        <v>-60000</v>
      </c>
      <c r="J263" s="90">
        <f t="shared" ca="1" si="92"/>
        <v>0</v>
      </c>
      <c r="K263" s="442">
        <v>60000</v>
      </c>
      <c r="L263" s="433"/>
      <c r="M263" s="489"/>
      <c r="N263" s="442"/>
      <c r="O263" s="618"/>
      <c r="P263" s="433"/>
      <c r="Q263" s="433"/>
      <c r="R263" s="433"/>
      <c r="S263" s="433"/>
      <c r="T263" s="433"/>
      <c r="U263" s="433"/>
      <c r="V263" s="433"/>
      <c r="W263" s="433"/>
      <c r="X263" s="433"/>
      <c r="Y263" s="433"/>
    </row>
    <row r="264" spans="1:27" s="491" customFormat="1" ht="14.6" x14ac:dyDescent="0.4">
      <c r="A264" s="451"/>
      <c r="B264" s="785" t="str">
        <f t="shared" si="90"/>
        <v>6260-16</v>
      </c>
      <c r="C264" s="562" t="s">
        <v>368</v>
      </c>
      <c r="D264" s="664"/>
      <c r="E264" s="453">
        <v>100</v>
      </c>
      <c r="F264" s="452"/>
      <c r="G264" s="454">
        <v>125</v>
      </c>
      <c r="H264" s="379">
        <f t="shared" si="93"/>
        <v>12500</v>
      </c>
      <c r="I264" s="563">
        <f t="shared" ca="1" si="91"/>
        <v>-812.5</v>
      </c>
      <c r="J264" s="563">
        <f t="shared" ca="1" si="92"/>
        <v>11687.5</v>
      </c>
      <c r="K264" s="455">
        <v>12500</v>
      </c>
      <c r="L264" s="433"/>
      <c r="M264" s="489"/>
      <c r="N264" s="442"/>
      <c r="O264" s="490"/>
      <c r="P264" s="433"/>
      <c r="Q264" s="433"/>
      <c r="R264" s="433"/>
      <c r="S264" s="433"/>
      <c r="T264" s="433"/>
      <c r="U264" s="433"/>
      <c r="V264" s="433"/>
      <c r="W264" s="433"/>
      <c r="X264" s="433"/>
      <c r="Y264" s="433"/>
    </row>
    <row r="265" spans="1:27" s="491" customFormat="1" ht="14.6" x14ac:dyDescent="0.4">
      <c r="A265" s="832" t="s">
        <v>1643</v>
      </c>
      <c r="B265" s="832" t="str">
        <f t="shared" si="90"/>
        <v>6260-17</v>
      </c>
      <c r="C265" s="872" t="s">
        <v>1640</v>
      </c>
      <c r="D265" s="873"/>
      <c r="E265" s="778"/>
      <c r="F265" s="874"/>
      <c r="G265" s="779"/>
      <c r="H265" s="875"/>
      <c r="I265" s="397">
        <f t="shared" ca="1" si="91"/>
        <v>-1747.73</v>
      </c>
      <c r="J265" s="397">
        <f t="shared" ca="1" si="92"/>
        <v>-1747.73</v>
      </c>
      <c r="K265" s="800"/>
      <c r="L265" s="433"/>
      <c r="M265" s="489"/>
      <c r="N265" s="442"/>
      <c r="O265" s="490"/>
      <c r="P265" s="433"/>
      <c r="Q265" s="433"/>
      <c r="R265" s="433"/>
      <c r="S265" s="433"/>
      <c r="T265" s="433"/>
      <c r="U265" s="433"/>
      <c r="V265" s="433"/>
      <c r="W265" s="433"/>
      <c r="X265" s="433"/>
      <c r="Y265" s="433"/>
    </row>
    <row r="266" spans="1:27" thickBot="1" x14ac:dyDescent="0.45">
      <c r="A266" s="338"/>
      <c r="B266" s="830"/>
      <c r="C266" s="217" t="s">
        <v>71</v>
      </c>
      <c r="D266" s="218"/>
      <c r="E266" s="218"/>
      <c r="F266" s="49" t="s">
        <v>49</v>
      </c>
      <c r="G266" s="424">
        <f>SUM('3% Overview'!K22)</f>
        <v>2.1879178315303269E-2</v>
      </c>
      <c r="H266" s="377">
        <f>SUM(H249:H265)</f>
        <v>840676</v>
      </c>
      <c r="I266" s="141">
        <f ca="1">SUM(I249:I265)</f>
        <v>-802353.22999999986</v>
      </c>
      <c r="J266" s="141">
        <f ca="1">SUM(J249:J265)</f>
        <v>38322.770000000048</v>
      </c>
      <c r="K266" s="141">
        <f>SUM(K249:K264)</f>
        <v>822664</v>
      </c>
      <c r="L266" s="3"/>
      <c r="M266" s="3"/>
      <c r="N266" s="3"/>
      <c r="O266" s="82"/>
    </row>
    <row r="267" spans="1:27" ht="10.5" customHeight="1" x14ac:dyDescent="0.4">
      <c r="A267" s="338"/>
      <c r="B267" s="837"/>
      <c r="C267" s="217"/>
      <c r="D267" s="218"/>
      <c r="E267" s="218"/>
      <c r="F267" s="49"/>
      <c r="G267" s="88"/>
      <c r="H267" s="432"/>
      <c r="I267" s="256"/>
      <c r="J267" s="256"/>
      <c r="K267" s="289"/>
      <c r="L267" s="3"/>
      <c r="M267" s="3"/>
      <c r="N267" s="3"/>
      <c r="O267" s="82"/>
    </row>
    <row r="268" spans="1:27" ht="19.5" customHeight="1" x14ac:dyDescent="0.5">
      <c r="A268" s="897" t="s">
        <v>369</v>
      </c>
      <c r="B268" s="900"/>
      <c r="C268" s="898"/>
      <c r="D268" s="898"/>
      <c r="E268" s="898"/>
      <c r="F268" s="898"/>
      <c r="G268" s="898"/>
      <c r="H268" s="898"/>
      <c r="I268" s="898" t="e">
        <f t="shared" ref="I268" ca="1" si="94">-(SUMIF(INDIRECT(LEFT($A$263,4)&amp;"!E3:E200"),"="&amp;B268&amp;" *",INDIRECT(LEFT($A$263,4)&amp;"!F3:F200")))</f>
        <v>#REF!</v>
      </c>
      <c r="J268" s="898" t="e">
        <f t="shared" ref="J268" ca="1" si="95">SUM(H268:I268)</f>
        <v>#REF!</v>
      </c>
      <c r="K268" s="899"/>
      <c r="L268" s="3"/>
      <c r="M268" s="3"/>
      <c r="N268" s="3"/>
      <c r="O268" s="82"/>
    </row>
    <row r="269" spans="1:27" ht="14.6" x14ac:dyDescent="0.4">
      <c r="A269" s="217" t="s">
        <v>370</v>
      </c>
      <c r="C269" s="339"/>
      <c r="D269" s="118"/>
      <c r="E269" s="218"/>
      <c r="F269" s="118"/>
      <c r="G269" s="340"/>
      <c r="H269" s="479"/>
      <c r="I269" s="339"/>
      <c r="J269" s="339"/>
      <c r="K269" s="341"/>
      <c r="L269" s="3"/>
      <c r="M269" s="3"/>
      <c r="N269" s="137"/>
      <c r="O269" s="82"/>
    </row>
    <row r="270" spans="1:27" ht="14.6" x14ac:dyDescent="0.4">
      <c r="A270" s="434"/>
      <c r="B270" s="832" t="str">
        <f>LEFT($A268,4)&amp;"-1"</f>
        <v>6280-1</v>
      </c>
      <c r="C270" s="518" t="s">
        <v>371</v>
      </c>
      <c r="D270" s="498">
        <v>1</v>
      </c>
      <c r="E270" s="435"/>
      <c r="F270" s="499"/>
      <c r="G270" s="401">
        <v>5180</v>
      </c>
      <c r="H270" s="378">
        <f t="shared" ref="H270:H284" si="96">(D270+E270+F270)*G270</f>
        <v>5180</v>
      </c>
      <c r="I270" s="397">
        <f ca="1">-(SUMIF(INDIRECT(LEFT($A$268,4)&amp;"!E3:E200"),"="&amp;B270&amp;" *",INDIRECT(LEFT($A$268,4)&amp;"!F3:F200")))</f>
        <v>-4180</v>
      </c>
      <c r="J270" s="397">
        <f t="shared" ref="J270:J271" ca="1" si="97">SUM(H270:I270)</f>
        <v>1000</v>
      </c>
      <c r="K270" s="437">
        <v>5180</v>
      </c>
      <c r="L270" s="3"/>
      <c r="M270" s="3"/>
      <c r="N270" s="137"/>
      <c r="O270" s="82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7" ht="14.6" x14ac:dyDescent="0.4">
      <c r="A271" s="451"/>
      <c r="B271" s="446" t="str">
        <f t="shared" ref="B271:B292" si="98">LEFT($B270,4)&amp;"-"&amp;VALUE(MID($B270,FIND("-",$B270)+1,256))+1</f>
        <v>6280-2</v>
      </c>
      <c r="C271" s="524" t="s">
        <v>372</v>
      </c>
      <c r="D271" s="515"/>
      <c r="E271" s="456"/>
      <c r="F271" s="515"/>
      <c r="G271" s="525">
        <v>1800</v>
      </c>
      <c r="H271" s="465">
        <f t="shared" si="96"/>
        <v>0</v>
      </c>
      <c r="I271" s="578">
        <f ca="1">-(SUMIF(INDIRECT(LEFT($A$268,4)&amp;"!E3:E200"),"="&amp;B271&amp;" *",INDIRECT(LEFT($A$268,4)&amp;"!F3:F200")))</f>
        <v>0</v>
      </c>
      <c r="J271" s="578">
        <f t="shared" ca="1" si="97"/>
        <v>0</v>
      </c>
      <c r="K271" s="455">
        <v>1800</v>
      </c>
      <c r="L271" s="170"/>
      <c r="M271" s="247"/>
      <c r="N271" s="137"/>
      <c r="O271" s="342"/>
    </row>
    <row r="272" spans="1:27" ht="14.6" x14ac:dyDescent="0.4">
      <c r="A272" s="434"/>
      <c r="B272" s="278" t="str">
        <f t="shared" si="98"/>
        <v>6280-3</v>
      </c>
      <c r="C272" s="402" t="s">
        <v>373</v>
      </c>
      <c r="D272" s="499"/>
      <c r="E272" s="435"/>
      <c r="F272" s="499"/>
      <c r="G272" s="519">
        <v>2200</v>
      </c>
      <c r="H272" s="520">
        <f t="shared" si="96"/>
        <v>0</v>
      </c>
      <c r="I272" s="397">
        <f t="shared" ref="I272:I335" ca="1" si="99">-(SUMIF(INDIRECT(LEFT($A$268,4)&amp;"!E3:E200"),"="&amp;B272&amp;" *",INDIRECT(LEFT($A$268,4)&amp;"!F3:F200")))</f>
        <v>0</v>
      </c>
      <c r="J272" s="397">
        <f t="shared" ref="J272:J335" ca="1" si="100">SUM(H272:I272)</f>
        <v>0</v>
      </c>
      <c r="K272" s="437">
        <v>2200</v>
      </c>
      <c r="L272" s="3"/>
      <c r="M272" s="247"/>
      <c r="N272" s="137"/>
      <c r="O272" s="342"/>
    </row>
    <row r="273" spans="1:27" ht="14.6" x14ac:dyDescent="0.4">
      <c r="A273" s="451"/>
      <c r="B273" s="831" t="str">
        <f t="shared" si="98"/>
        <v>6280-4</v>
      </c>
      <c r="C273" s="524" t="s">
        <v>374</v>
      </c>
      <c r="D273" s="515"/>
      <c r="E273" s="456"/>
      <c r="F273" s="515"/>
      <c r="G273" s="525">
        <v>850</v>
      </c>
      <c r="H273" s="465">
        <f t="shared" si="96"/>
        <v>0</v>
      </c>
      <c r="I273" s="578">
        <f t="shared" ca="1" si="99"/>
        <v>0</v>
      </c>
      <c r="J273" s="578">
        <f t="shared" ca="1" si="100"/>
        <v>0</v>
      </c>
      <c r="K273" s="455">
        <v>850</v>
      </c>
      <c r="L273" s="170"/>
      <c r="M273" s="247"/>
      <c r="N273" s="137"/>
      <c r="O273" s="342"/>
    </row>
    <row r="274" spans="1:27" ht="14.6" x14ac:dyDescent="0.4">
      <c r="A274" s="434"/>
      <c r="B274" s="278" t="str">
        <f t="shared" si="98"/>
        <v>6280-5</v>
      </c>
      <c r="C274" s="402" t="s">
        <v>375</v>
      </c>
      <c r="D274" s="499"/>
      <c r="E274" s="435"/>
      <c r="F274" s="499"/>
      <c r="G274" s="519">
        <v>600</v>
      </c>
      <c r="H274" s="520">
        <f t="shared" si="96"/>
        <v>0</v>
      </c>
      <c r="I274" s="397">
        <f t="shared" ca="1" si="99"/>
        <v>0</v>
      </c>
      <c r="J274" s="397">
        <f t="shared" ca="1" si="100"/>
        <v>0</v>
      </c>
      <c r="K274" s="437">
        <v>600</v>
      </c>
      <c r="L274" s="3"/>
      <c r="M274" s="247"/>
      <c r="N274" s="137"/>
      <c r="O274" s="82"/>
    </row>
    <row r="275" spans="1:27" ht="14.6" x14ac:dyDescent="0.4">
      <c r="A275" s="451"/>
      <c r="B275" s="831" t="str">
        <f t="shared" si="98"/>
        <v>6280-6</v>
      </c>
      <c r="C275" s="514" t="s">
        <v>376</v>
      </c>
      <c r="D275" s="515"/>
      <c r="E275" s="456">
        <v>1</v>
      </c>
      <c r="F275" s="515"/>
      <c r="G275" s="454">
        <v>600</v>
      </c>
      <c r="H275" s="382">
        <f t="shared" si="96"/>
        <v>600</v>
      </c>
      <c r="I275" s="578">
        <f t="shared" ca="1" si="99"/>
        <v>0</v>
      </c>
      <c r="J275" s="578">
        <f t="shared" ca="1" si="100"/>
        <v>600</v>
      </c>
      <c r="K275" s="455">
        <v>600</v>
      </c>
      <c r="L275" s="170"/>
      <c r="M275" s="247"/>
      <c r="N275" s="137"/>
      <c r="O275" s="342"/>
    </row>
    <row r="276" spans="1:27" ht="14.6" x14ac:dyDescent="0.4">
      <c r="A276" s="434"/>
      <c r="B276" s="830" t="str">
        <f t="shared" si="98"/>
        <v>6280-7</v>
      </c>
      <c r="C276" s="497" t="s">
        <v>377</v>
      </c>
      <c r="D276" s="499"/>
      <c r="E276" s="435">
        <v>1</v>
      </c>
      <c r="F276" s="499"/>
      <c r="G276" s="401">
        <v>500</v>
      </c>
      <c r="H276" s="378">
        <f t="shared" si="96"/>
        <v>500</v>
      </c>
      <c r="I276" s="397">
        <f t="shared" ca="1" si="99"/>
        <v>0</v>
      </c>
      <c r="J276" s="397">
        <f t="shared" ca="1" si="100"/>
        <v>500</v>
      </c>
      <c r="K276" s="437">
        <v>500</v>
      </c>
      <c r="L276" s="3"/>
      <c r="M276" s="247"/>
      <c r="N276" s="137"/>
      <c r="O276" s="82"/>
    </row>
    <row r="277" spans="1:27" ht="14.6" x14ac:dyDescent="0.4">
      <c r="A277" s="446"/>
      <c r="B277" s="831" t="str">
        <f t="shared" si="98"/>
        <v>6280-8</v>
      </c>
      <c r="C277" s="522" t="s">
        <v>378</v>
      </c>
      <c r="D277" s="474"/>
      <c r="E277" s="473"/>
      <c r="F277" s="474"/>
      <c r="G277" s="523">
        <v>1500</v>
      </c>
      <c r="H277" s="465">
        <f t="shared" si="96"/>
        <v>0</v>
      </c>
      <c r="I277" s="578">
        <f t="shared" ca="1" si="99"/>
        <v>0</v>
      </c>
      <c r="J277" s="578">
        <f t="shared" ca="1" si="100"/>
        <v>0</v>
      </c>
      <c r="K277" s="449">
        <v>1500</v>
      </c>
      <c r="L277" s="3"/>
      <c r="M277" s="247"/>
      <c r="N277" s="137"/>
      <c r="O277" s="82"/>
    </row>
    <row r="278" spans="1:27" ht="14.6" x14ac:dyDescent="0.4">
      <c r="A278" s="434"/>
      <c r="B278" s="832" t="str">
        <f t="shared" si="98"/>
        <v>6280-9</v>
      </c>
      <c r="C278" s="521" t="s">
        <v>379</v>
      </c>
      <c r="D278" s="445"/>
      <c r="E278" s="444"/>
      <c r="F278" s="445"/>
      <c r="G278" s="519">
        <v>1200</v>
      </c>
      <c r="H278" s="520">
        <f t="shared" si="96"/>
        <v>0</v>
      </c>
      <c r="I278" s="397">
        <f t="shared" ca="1" si="99"/>
        <v>0</v>
      </c>
      <c r="J278" s="397">
        <f t="shared" ca="1" si="100"/>
        <v>0</v>
      </c>
      <c r="K278" s="437">
        <v>1200</v>
      </c>
      <c r="L278" s="3"/>
      <c r="M278" s="247"/>
      <c r="N278" s="137"/>
      <c r="O278" s="82"/>
    </row>
    <row r="279" spans="1:27" s="491" customFormat="1" ht="14.6" x14ac:dyDescent="0.4">
      <c r="A279" s="791"/>
      <c r="B279" s="446" t="str">
        <f t="shared" si="98"/>
        <v>6280-10</v>
      </c>
      <c r="C279" s="792" t="s">
        <v>555</v>
      </c>
      <c r="D279" s="793"/>
      <c r="E279" s="794">
        <v>1</v>
      </c>
      <c r="F279" s="793"/>
      <c r="G279" s="788">
        <v>6000</v>
      </c>
      <c r="H279" s="379">
        <f>(D279+E279+F279)*G279</f>
        <v>6000</v>
      </c>
      <c r="I279" s="578">
        <f t="shared" ca="1" si="99"/>
        <v>-6000</v>
      </c>
      <c r="J279" s="578">
        <f t="shared" ca="1" si="100"/>
        <v>0</v>
      </c>
      <c r="K279" s="795"/>
      <c r="L279" s="433"/>
      <c r="M279" s="384"/>
      <c r="N279" s="442"/>
      <c r="O279" s="655"/>
      <c r="P279" s="433"/>
      <c r="Q279" s="433"/>
      <c r="R279" s="433"/>
      <c r="S279" s="433"/>
      <c r="T279" s="433"/>
      <c r="U279" s="433"/>
      <c r="V279" s="433"/>
      <c r="W279" s="433"/>
      <c r="X279" s="433"/>
      <c r="Y279" s="433"/>
      <c r="Z279" s="433"/>
      <c r="AA279" s="433"/>
    </row>
    <row r="280" spans="1:27" s="491" customFormat="1" ht="14.6" x14ac:dyDescent="0.4">
      <c r="A280" s="434"/>
      <c r="B280" s="832" t="str">
        <f t="shared" si="98"/>
        <v>6280-11</v>
      </c>
      <c r="C280" s="408" t="s">
        <v>397</v>
      </c>
      <c r="D280" s="499"/>
      <c r="E280" s="435">
        <v>1</v>
      </c>
      <c r="F280" s="499"/>
      <c r="G280" s="401">
        <v>10300</v>
      </c>
      <c r="H280" s="378">
        <f>(D280+E280+F280)*G280</f>
        <v>10300</v>
      </c>
      <c r="I280" s="397">
        <f t="shared" ca="1" si="99"/>
        <v>-9972.84</v>
      </c>
      <c r="J280" s="397">
        <f t="shared" ca="1" si="100"/>
        <v>327.15999999999985</v>
      </c>
      <c r="K280" s="437">
        <v>4000</v>
      </c>
      <c r="L280" s="433"/>
      <c r="N280" s="442"/>
      <c r="O280" s="618"/>
      <c r="P280" s="433"/>
      <c r="Q280" s="433"/>
      <c r="R280" s="433"/>
      <c r="S280" s="433"/>
      <c r="T280" s="433"/>
      <c r="U280" s="433"/>
      <c r="V280" s="433"/>
      <c r="W280" s="433"/>
      <c r="X280" s="433"/>
      <c r="Y280" s="433"/>
      <c r="Z280" s="433"/>
      <c r="AA280" s="433"/>
    </row>
    <row r="281" spans="1:27" s="491" customFormat="1" ht="14.6" x14ac:dyDescent="0.4">
      <c r="A281" s="412"/>
      <c r="B281" s="446" t="str">
        <f t="shared" si="98"/>
        <v>6280-12</v>
      </c>
      <c r="C281" s="648" t="s">
        <v>380</v>
      </c>
      <c r="D281" s="506"/>
      <c r="E281" s="448">
        <v>1</v>
      </c>
      <c r="F281" s="506"/>
      <c r="G281" s="421">
        <v>500</v>
      </c>
      <c r="H281" s="382">
        <f t="shared" si="96"/>
        <v>500</v>
      </c>
      <c r="I281" s="578">
        <f t="shared" ca="1" si="99"/>
        <v>0</v>
      </c>
      <c r="J281" s="578">
        <f t="shared" ca="1" si="100"/>
        <v>500</v>
      </c>
      <c r="K281" s="449">
        <v>500</v>
      </c>
      <c r="L281" s="433"/>
      <c r="M281" s="617"/>
      <c r="N281" s="442"/>
      <c r="O281" s="653"/>
    </row>
    <row r="282" spans="1:27" s="491" customFormat="1" ht="14.6" x14ac:dyDescent="0.4">
      <c r="A282" s="731" t="s">
        <v>428</v>
      </c>
      <c r="B282" s="830" t="str">
        <f t="shared" si="98"/>
        <v>6280-13</v>
      </c>
      <c r="C282" s="635" t="s">
        <v>544</v>
      </c>
      <c r="D282" s="564"/>
      <c r="E282" s="441">
        <v>8</v>
      </c>
      <c r="F282" s="564"/>
      <c r="G282" s="388">
        <v>1100</v>
      </c>
      <c r="H282" s="378">
        <f>(D282+E282+F282)*G282</f>
        <v>8800</v>
      </c>
      <c r="I282" s="397">
        <f t="shared" ca="1" si="99"/>
        <v>0</v>
      </c>
      <c r="J282" s="397">
        <f t="shared" ca="1" si="100"/>
        <v>8800</v>
      </c>
      <c r="K282" s="442"/>
      <c r="L282" s="433"/>
      <c r="M282" s="384"/>
      <c r="N282" s="442"/>
      <c r="O282" s="708"/>
      <c r="P282" s="433"/>
      <c r="Q282" s="433"/>
      <c r="R282" s="433"/>
      <c r="S282" s="433"/>
      <c r="T282" s="433"/>
      <c r="U282" s="433"/>
      <c r="V282" s="433"/>
      <c r="W282" s="433"/>
      <c r="X282" s="433"/>
      <c r="Y282" s="433"/>
      <c r="Z282" s="433"/>
      <c r="AA282" s="433"/>
    </row>
    <row r="283" spans="1:27" s="491" customFormat="1" ht="14.6" x14ac:dyDescent="0.4">
      <c r="A283" s="451"/>
      <c r="B283" s="446" t="str">
        <f t="shared" si="98"/>
        <v>6280-14</v>
      </c>
      <c r="C283" s="734" t="s">
        <v>381</v>
      </c>
      <c r="D283" s="515"/>
      <c r="E283" s="456">
        <v>1</v>
      </c>
      <c r="F283" s="515"/>
      <c r="G283" s="454">
        <v>750</v>
      </c>
      <c r="H283" s="379">
        <f t="shared" si="96"/>
        <v>750</v>
      </c>
      <c r="I283" s="578">
        <f t="shared" ca="1" si="99"/>
        <v>-500</v>
      </c>
      <c r="J283" s="578">
        <f t="shared" ca="1" si="100"/>
        <v>250</v>
      </c>
      <c r="K283" s="455">
        <v>750</v>
      </c>
      <c r="L283" s="433"/>
      <c r="M283" s="617"/>
      <c r="N283" s="442"/>
      <c r="O283" s="653"/>
    </row>
    <row r="284" spans="1:27" s="491" customFormat="1" ht="14.6" x14ac:dyDescent="0.4">
      <c r="A284" s="438"/>
      <c r="B284" s="438" t="str">
        <f t="shared" si="98"/>
        <v>6280-15</v>
      </c>
      <c r="C284" s="732" t="s">
        <v>382</v>
      </c>
      <c r="D284" s="610"/>
      <c r="E284" s="500">
        <v>1</v>
      </c>
      <c r="F284" s="610"/>
      <c r="G284" s="388">
        <v>2800</v>
      </c>
      <c r="H284" s="389">
        <f t="shared" si="96"/>
        <v>2800</v>
      </c>
      <c r="I284" s="397">
        <f t="shared" ca="1" si="99"/>
        <v>-1575</v>
      </c>
      <c r="J284" s="397">
        <f t="shared" ca="1" si="100"/>
        <v>1225</v>
      </c>
      <c r="K284" s="442">
        <v>2600</v>
      </c>
      <c r="L284" s="433"/>
      <c r="M284" s="617"/>
      <c r="N284" s="442"/>
      <c r="O284" s="653"/>
    </row>
    <row r="285" spans="1:27" s="491" customFormat="1" ht="14.6" x14ac:dyDescent="0.4">
      <c r="A285" s="571" t="s">
        <v>472</v>
      </c>
      <c r="B285" s="446" t="str">
        <f t="shared" si="98"/>
        <v>6280-16</v>
      </c>
      <c r="C285" s="505" t="s">
        <v>545</v>
      </c>
      <c r="D285" s="506"/>
      <c r="E285" s="448">
        <v>9</v>
      </c>
      <c r="F285" s="506"/>
      <c r="G285" s="421">
        <v>2200</v>
      </c>
      <c r="H285" s="379">
        <f>(D285+E285+F285)*G285</f>
        <v>19800</v>
      </c>
      <c r="I285" s="578">
        <f t="shared" ca="1" si="99"/>
        <v>-12449.099999999999</v>
      </c>
      <c r="J285" s="578">
        <f t="shared" ca="1" si="100"/>
        <v>7350.9000000000015</v>
      </c>
      <c r="K285" s="619"/>
      <c r="L285" s="433"/>
      <c r="M285" s="384"/>
      <c r="N285" s="442"/>
      <c r="O285" s="708"/>
      <c r="P285" s="433"/>
      <c r="Q285" s="433"/>
      <c r="R285" s="433"/>
      <c r="S285" s="433"/>
      <c r="T285" s="433"/>
      <c r="U285" s="433"/>
      <c r="V285" s="433"/>
      <c r="W285" s="433"/>
      <c r="X285" s="433"/>
      <c r="Y285" s="433"/>
      <c r="Z285" s="433"/>
      <c r="AA285" s="433"/>
    </row>
    <row r="286" spans="1:27" s="491" customFormat="1" ht="15" customHeight="1" x14ac:dyDescent="0.4">
      <c r="A286" s="434"/>
      <c r="B286" s="438" t="str">
        <f t="shared" si="98"/>
        <v>6280-17</v>
      </c>
      <c r="C286" s="607" t="s">
        <v>524</v>
      </c>
      <c r="D286" s="436"/>
      <c r="E286" s="435">
        <v>1</v>
      </c>
      <c r="F286" s="436"/>
      <c r="G286" s="401">
        <v>3000</v>
      </c>
      <c r="H286" s="378">
        <f t="shared" ref="H286:H291" si="101">SUM(D286:F286)*G286</f>
        <v>3000</v>
      </c>
      <c r="I286" s="397">
        <f t="shared" ca="1" si="99"/>
        <v>-3022.5</v>
      </c>
      <c r="J286" s="397">
        <f t="shared" ca="1" si="100"/>
        <v>-22.5</v>
      </c>
      <c r="K286" s="401">
        <v>3000</v>
      </c>
      <c r="L286" s="433"/>
      <c r="M286" s="489"/>
      <c r="N286" s="442"/>
      <c r="O286" s="536"/>
      <c r="P286" s="433"/>
      <c r="Q286" s="433"/>
      <c r="R286" s="433"/>
      <c r="S286" s="433"/>
      <c r="T286" s="433"/>
      <c r="U286" s="433"/>
      <c r="V286" s="433"/>
      <c r="W286" s="433"/>
      <c r="X286" s="433"/>
      <c r="Y286" s="433"/>
    </row>
    <row r="287" spans="1:27" s="491" customFormat="1" ht="15" customHeight="1" x14ac:dyDescent="0.4">
      <c r="A287" s="735"/>
      <c r="B287" s="446" t="str">
        <f t="shared" si="98"/>
        <v>6280-18</v>
      </c>
      <c r="C287" s="736" t="s">
        <v>527</v>
      </c>
      <c r="D287" s="654"/>
      <c r="E287" s="473">
        <v>1</v>
      </c>
      <c r="F287" s="654"/>
      <c r="G287" s="654">
        <v>1200</v>
      </c>
      <c r="H287" s="382">
        <f t="shared" si="101"/>
        <v>1200</v>
      </c>
      <c r="I287" s="578">
        <f t="shared" ca="1" si="99"/>
        <v>-1209</v>
      </c>
      <c r="J287" s="578">
        <f t="shared" ca="1" si="100"/>
        <v>-9</v>
      </c>
      <c r="K287" s="654">
        <v>1200</v>
      </c>
      <c r="L287" s="433"/>
      <c r="M287" s="489"/>
      <c r="N287" s="442"/>
      <c r="O287" s="653"/>
    </row>
    <row r="288" spans="1:27" s="491" customFormat="1" ht="15" customHeight="1" x14ac:dyDescent="0.4">
      <c r="A288" s="434"/>
      <c r="B288" s="438" t="str">
        <f t="shared" si="98"/>
        <v>6280-19</v>
      </c>
      <c r="C288" s="733" t="s">
        <v>525</v>
      </c>
      <c r="D288" s="436"/>
      <c r="E288" s="435">
        <v>1</v>
      </c>
      <c r="F288" s="436"/>
      <c r="G288" s="401">
        <v>1500</v>
      </c>
      <c r="H288" s="378">
        <f t="shared" si="101"/>
        <v>1500</v>
      </c>
      <c r="I288" s="397">
        <f t="shared" ca="1" si="99"/>
        <v>-1511.25</v>
      </c>
      <c r="J288" s="397">
        <f t="shared" ca="1" si="100"/>
        <v>-11.25</v>
      </c>
      <c r="K288" s="437">
        <v>1500</v>
      </c>
      <c r="L288" s="433"/>
      <c r="M288" s="489"/>
      <c r="N288" s="442"/>
      <c r="O288" s="536"/>
    </row>
    <row r="289" spans="1:27" s="491" customFormat="1" ht="14.6" x14ac:dyDescent="0.4">
      <c r="A289" s="737" t="s">
        <v>538</v>
      </c>
      <c r="B289" s="446" t="str">
        <f t="shared" si="98"/>
        <v>6280-20</v>
      </c>
      <c r="C289" s="512" t="s">
        <v>526</v>
      </c>
      <c r="D289" s="447"/>
      <c r="E289" s="473">
        <v>5</v>
      </c>
      <c r="F289" s="510"/>
      <c r="G289" s="421">
        <v>1200</v>
      </c>
      <c r="H289" s="382">
        <f t="shared" si="101"/>
        <v>6000</v>
      </c>
      <c r="I289" s="578">
        <f t="shared" ca="1" si="99"/>
        <v>-4836</v>
      </c>
      <c r="J289" s="578">
        <f t="shared" ca="1" si="100"/>
        <v>1164</v>
      </c>
      <c r="K289" s="449">
        <v>4800</v>
      </c>
      <c r="L289" s="632"/>
      <c r="M289" s="489"/>
      <c r="N289" s="442"/>
      <c r="O289" s="536"/>
      <c r="P289" s="433"/>
      <c r="Q289" s="433"/>
      <c r="R289" s="433"/>
      <c r="S289" s="433"/>
      <c r="T289" s="433"/>
      <c r="U289" s="433"/>
      <c r="V289" s="433"/>
      <c r="W289" s="433"/>
      <c r="X289" s="433"/>
      <c r="Y289" s="433"/>
    </row>
    <row r="290" spans="1:27" s="491" customFormat="1" ht="14.6" x14ac:dyDescent="0.4">
      <c r="A290" s="434"/>
      <c r="B290" s="438" t="str">
        <f t="shared" si="98"/>
        <v>6280-21</v>
      </c>
      <c r="C290" s="733" t="s">
        <v>528</v>
      </c>
      <c r="D290" s="436"/>
      <c r="E290" s="435">
        <v>1</v>
      </c>
      <c r="F290" s="499"/>
      <c r="G290" s="401">
        <v>400</v>
      </c>
      <c r="H290" s="378">
        <f t="shared" si="101"/>
        <v>400</v>
      </c>
      <c r="I290" s="397">
        <f t="shared" ca="1" si="99"/>
        <v>-403</v>
      </c>
      <c r="J290" s="397">
        <f t="shared" ca="1" si="100"/>
        <v>-3</v>
      </c>
      <c r="K290" s="437">
        <v>400</v>
      </c>
      <c r="L290" s="433"/>
      <c r="M290" s="489"/>
      <c r="N290" s="442"/>
      <c r="O290" s="536"/>
    </row>
    <row r="291" spans="1:27" ht="14.6" x14ac:dyDescent="0.4">
      <c r="A291" s="738"/>
      <c r="B291" s="446" t="str">
        <f t="shared" si="98"/>
        <v>6280-22</v>
      </c>
      <c r="C291" s="602" t="s">
        <v>529</v>
      </c>
      <c r="D291" s="413"/>
      <c r="E291" s="473">
        <v>2</v>
      </c>
      <c r="F291" s="413"/>
      <c r="G291" s="421">
        <v>300</v>
      </c>
      <c r="H291" s="382">
        <f t="shared" si="101"/>
        <v>600</v>
      </c>
      <c r="I291" s="578">
        <f t="shared" ca="1" si="99"/>
        <v>-604.5</v>
      </c>
      <c r="J291" s="578">
        <f t="shared" ca="1" si="100"/>
        <v>-4.5</v>
      </c>
      <c r="K291" s="416">
        <v>900</v>
      </c>
      <c r="L291" s="3"/>
      <c r="M291" s="17"/>
      <c r="N291" s="137"/>
      <c r="O291" s="272"/>
    </row>
    <row r="292" spans="1:27" s="491" customFormat="1" ht="14.6" x14ac:dyDescent="0.4">
      <c r="A292" s="434"/>
      <c r="B292" s="438" t="str">
        <f t="shared" si="98"/>
        <v>6280-23</v>
      </c>
      <c r="C292" s="497" t="s">
        <v>383</v>
      </c>
      <c r="D292" s="436"/>
      <c r="E292" s="435">
        <v>2</v>
      </c>
      <c r="F292" s="499"/>
      <c r="G292" s="401">
        <v>5000</v>
      </c>
      <c r="H292" s="378">
        <f t="shared" ref="H292:H340" si="102">(D292+E292+F292)*G292</f>
        <v>10000</v>
      </c>
      <c r="I292" s="397">
        <f t="shared" ca="1" si="99"/>
        <v>-10075</v>
      </c>
      <c r="J292" s="397">
        <f t="shared" ca="1" si="100"/>
        <v>-75</v>
      </c>
      <c r="K292" s="437">
        <v>10000</v>
      </c>
      <c r="L292" s="433"/>
      <c r="M292" s="489"/>
      <c r="N292" s="442"/>
      <c r="O292" s="536"/>
    </row>
    <row r="293" spans="1:27" s="491" customFormat="1" ht="14.6" x14ac:dyDescent="0.4">
      <c r="A293" s="446"/>
      <c r="B293" s="446" t="str">
        <f t="shared" ref="B293:B341" si="103">LEFT($B292,4)&amp;"-"&amp;VALUE(MID($B292,FIND("-",$B292)+1,256))+1</f>
        <v>6280-24</v>
      </c>
      <c r="C293" s="602" t="s">
        <v>530</v>
      </c>
      <c r="D293" s="447"/>
      <c r="E293" s="473">
        <v>1</v>
      </c>
      <c r="F293" s="510"/>
      <c r="G293" s="421">
        <v>500</v>
      </c>
      <c r="H293" s="382">
        <f t="shared" si="102"/>
        <v>500</v>
      </c>
      <c r="I293" s="578">
        <f t="shared" ca="1" si="99"/>
        <v>-503.75</v>
      </c>
      <c r="J293" s="578">
        <f t="shared" ca="1" si="100"/>
        <v>-3.75</v>
      </c>
      <c r="K293" s="449">
        <v>500</v>
      </c>
      <c r="L293" s="433"/>
      <c r="M293" s="489"/>
      <c r="N293" s="442"/>
      <c r="O293" s="536"/>
    </row>
    <row r="294" spans="1:27" s="491" customFormat="1" ht="14.6" x14ac:dyDescent="0.4">
      <c r="A294" s="434"/>
      <c r="B294" s="438" t="str">
        <f t="shared" si="103"/>
        <v>6280-25</v>
      </c>
      <c r="C294" s="719" t="s">
        <v>531</v>
      </c>
      <c r="D294" s="436"/>
      <c r="E294" s="444">
        <v>1</v>
      </c>
      <c r="F294" s="443"/>
      <c r="G294" s="401">
        <v>500</v>
      </c>
      <c r="H294" s="378">
        <f t="shared" si="102"/>
        <v>500</v>
      </c>
      <c r="I294" s="397">
        <f t="shared" ca="1" si="99"/>
        <v>-503.75</v>
      </c>
      <c r="J294" s="397">
        <f t="shared" ca="1" si="100"/>
        <v>-3.75</v>
      </c>
      <c r="K294" s="437">
        <v>500</v>
      </c>
      <c r="L294" s="433"/>
      <c r="M294" s="489"/>
      <c r="N294" s="442"/>
      <c r="O294" s="536"/>
    </row>
    <row r="295" spans="1:27" s="491" customFormat="1" ht="14.6" x14ac:dyDescent="0.4">
      <c r="A295" s="412"/>
      <c r="B295" s="446" t="str">
        <f t="shared" si="103"/>
        <v>6280-26</v>
      </c>
      <c r="C295" s="614" t="s">
        <v>384</v>
      </c>
      <c r="D295" s="473">
        <v>1</v>
      </c>
      <c r="E295" s="473"/>
      <c r="F295" s="474"/>
      <c r="G295" s="416">
        <v>10000</v>
      </c>
      <c r="H295" s="382">
        <f t="shared" si="102"/>
        <v>10000</v>
      </c>
      <c r="I295" s="578">
        <f t="shared" ca="1" si="99"/>
        <v>-10075</v>
      </c>
      <c r="J295" s="578">
        <f t="shared" ca="1" si="100"/>
        <v>-75</v>
      </c>
      <c r="K295" s="416">
        <v>10000</v>
      </c>
      <c r="L295" s="632"/>
      <c r="M295" s="489"/>
      <c r="N295" s="442"/>
      <c r="O295" s="653"/>
    </row>
    <row r="296" spans="1:27" s="491" customFormat="1" ht="14.6" x14ac:dyDescent="0.4">
      <c r="A296" s="434"/>
      <c r="B296" s="438" t="str">
        <f t="shared" si="103"/>
        <v>6280-27</v>
      </c>
      <c r="C296" s="497" t="s">
        <v>385</v>
      </c>
      <c r="D296" s="657"/>
      <c r="E296" s="435">
        <v>1</v>
      </c>
      <c r="F296" s="657"/>
      <c r="G296" s="401">
        <v>2500</v>
      </c>
      <c r="H296" s="378">
        <f t="shared" si="102"/>
        <v>2500</v>
      </c>
      <c r="I296" s="397">
        <f t="shared" ca="1" si="99"/>
        <v>-799.94</v>
      </c>
      <c r="J296" s="397">
        <f t="shared" ca="1" si="100"/>
        <v>1700.06</v>
      </c>
      <c r="K296" s="437">
        <v>2500</v>
      </c>
      <c r="L296" s="433"/>
      <c r="M296" s="384"/>
      <c r="N296" s="442"/>
      <c r="O296" s="652"/>
    </row>
    <row r="297" spans="1:27" s="491" customFormat="1" ht="14.6" x14ac:dyDescent="0.4">
      <c r="A297" s="446"/>
      <c r="B297" s="446" t="str">
        <f t="shared" si="103"/>
        <v>6280-28</v>
      </c>
      <c r="C297" s="614" t="s">
        <v>386</v>
      </c>
      <c r="D297" s="474"/>
      <c r="E297" s="473"/>
      <c r="F297" s="474">
        <v>1</v>
      </c>
      <c r="G297" s="421">
        <v>1500</v>
      </c>
      <c r="H297" s="382">
        <f t="shared" si="102"/>
        <v>1500</v>
      </c>
      <c r="I297" s="578">
        <f t="shared" ca="1" si="99"/>
        <v>-1637.94</v>
      </c>
      <c r="J297" s="578">
        <f t="shared" ca="1" si="100"/>
        <v>-137.94000000000005</v>
      </c>
      <c r="K297" s="449">
        <v>1500</v>
      </c>
      <c r="L297" s="433"/>
      <c r="M297" s="489"/>
      <c r="N297" s="442"/>
      <c r="O297" s="618"/>
    </row>
    <row r="298" spans="1:27" s="491" customFormat="1" ht="14.6" x14ac:dyDescent="0.4">
      <c r="A298" s="434"/>
      <c r="B298" s="438" t="str">
        <f t="shared" si="103"/>
        <v>6280-29</v>
      </c>
      <c r="C298" s="497" t="s">
        <v>387</v>
      </c>
      <c r="D298" s="499"/>
      <c r="E298" s="435">
        <v>1</v>
      </c>
      <c r="F298" s="499"/>
      <c r="G298" s="401">
        <v>1950</v>
      </c>
      <c r="H298" s="378">
        <f t="shared" si="102"/>
        <v>1950</v>
      </c>
      <c r="I298" s="397">
        <f t="shared" ca="1" si="99"/>
        <v>-2065.56</v>
      </c>
      <c r="J298" s="397">
        <f t="shared" ca="1" si="100"/>
        <v>-115.55999999999995</v>
      </c>
      <c r="K298" s="437">
        <v>1950</v>
      </c>
      <c r="L298" s="433"/>
      <c r="M298" s="384"/>
      <c r="N298" s="442"/>
      <c r="O298" s="618"/>
      <c r="P298" s="433"/>
      <c r="Q298" s="433"/>
      <c r="R298" s="433"/>
      <c r="S298" s="433"/>
      <c r="T298" s="433"/>
      <c r="U298" s="433"/>
      <c r="V298" s="433"/>
      <c r="W298" s="433"/>
      <c r="X298" s="433"/>
      <c r="Y298" s="433"/>
    </row>
    <row r="299" spans="1:27" s="491" customFormat="1" ht="15" customHeight="1" x14ac:dyDescent="0.4">
      <c r="A299" s="446"/>
      <c r="B299" s="446" t="str">
        <f t="shared" si="103"/>
        <v>6280-30</v>
      </c>
      <c r="C299" s="648" t="s">
        <v>388</v>
      </c>
      <c r="D299" s="506"/>
      <c r="E299" s="448">
        <v>1</v>
      </c>
      <c r="F299" s="506"/>
      <c r="G299" s="421">
        <v>100</v>
      </c>
      <c r="H299" s="382">
        <f t="shared" si="102"/>
        <v>100</v>
      </c>
      <c r="I299" s="578">
        <f t="shared" ca="1" si="99"/>
        <v>-855.7</v>
      </c>
      <c r="J299" s="578">
        <f t="shared" ca="1" si="100"/>
        <v>-755.7</v>
      </c>
      <c r="K299" s="449">
        <v>200</v>
      </c>
      <c r="L299" s="433"/>
      <c r="M299" s="617"/>
      <c r="N299" s="442"/>
      <c r="O299" s="536"/>
      <c r="P299" s="433"/>
      <c r="Q299" s="433"/>
      <c r="R299" s="433"/>
      <c r="S299" s="433"/>
      <c r="T299" s="433"/>
      <c r="U299" s="433"/>
      <c r="V299" s="433"/>
      <c r="W299" s="433"/>
      <c r="X299" s="433"/>
      <c r="Y299" s="433"/>
      <c r="Z299" s="433"/>
      <c r="AA299" s="433"/>
    </row>
    <row r="300" spans="1:27" s="491" customFormat="1" ht="14.6" x14ac:dyDescent="0.4">
      <c r="A300" s="438" t="s">
        <v>517</v>
      </c>
      <c r="B300" s="438" t="str">
        <f t="shared" si="103"/>
        <v>6280-31</v>
      </c>
      <c r="C300" s="691" t="s">
        <v>516</v>
      </c>
      <c r="D300" s="564"/>
      <c r="E300" s="441">
        <v>1</v>
      </c>
      <c r="F300" s="564"/>
      <c r="G300" s="388">
        <v>1500</v>
      </c>
      <c r="H300" s="389">
        <f t="shared" si="102"/>
        <v>1500</v>
      </c>
      <c r="I300" s="397">
        <f t="shared" ca="1" si="99"/>
        <v>0</v>
      </c>
      <c r="J300" s="397">
        <f t="shared" ca="1" si="100"/>
        <v>1500</v>
      </c>
      <c r="K300" s="442"/>
      <c r="L300" s="433"/>
      <c r="M300" s="617"/>
      <c r="N300" s="442"/>
      <c r="O300" s="536"/>
      <c r="P300" s="433"/>
      <c r="Q300" s="433"/>
      <c r="R300" s="433"/>
      <c r="S300" s="433"/>
      <c r="T300" s="433"/>
      <c r="U300" s="433"/>
      <c r="V300" s="433"/>
      <c r="W300" s="433"/>
      <c r="X300" s="433"/>
      <c r="Y300" s="433"/>
      <c r="Z300" s="433"/>
      <c r="AA300" s="433"/>
    </row>
    <row r="301" spans="1:27" s="491" customFormat="1" ht="14.6" x14ac:dyDescent="0.4">
      <c r="A301" s="451"/>
      <c r="B301" s="446" t="str">
        <f t="shared" si="103"/>
        <v>6280-32</v>
      </c>
      <c r="C301" s="562" t="s">
        <v>389</v>
      </c>
      <c r="D301" s="664"/>
      <c r="E301" s="453">
        <v>1</v>
      </c>
      <c r="F301" s="452"/>
      <c r="G301" s="454">
        <v>500</v>
      </c>
      <c r="H301" s="379">
        <f t="shared" si="102"/>
        <v>500</v>
      </c>
      <c r="I301" s="578">
        <f t="shared" ca="1" si="99"/>
        <v>0</v>
      </c>
      <c r="J301" s="578">
        <f t="shared" ca="1" si="100"/>
        <v>500</v>
      </c>
      <c r="K301" s="455">
        <v>500</v>
      </c>
      <c r="L301" s="433"/>
      <c r="M301" s="617"/>
      <c r="N301" s="442"/>
      <c r="O301" s="490"/>
      <c r="P301" s="433"/>
      <c r="Q301" s="433"/>
      <c r="R301" s="433"/>
      <c r="S301" s="433"/>
      <c r="T301" s="433"/>
      <c r="U301" s="433"/>
      <c r="V301" s="433"/>
      <c r="W301" s="433"/>
      <c r="X301" s="433"/>
      <c r="Y301" s="433"/>
      <c r="Z301" s="433"/>
      <c r="AA301" s="433"/>
    </row>
    <row r="302" spans="1:27" s="491" customFormat="1" ht="14.6" x14ac:dyDescent="0.4">
      <c r="A302" s="438"/>
      <c r="B302" s="438" t="str">
        <f t="shared" si="103"/>
        <v>6280-33</v>
      </c>
      <c r="C302" s="739" t="s">
        <v>390</v>
      </c>
      <c r="D302" s="564"/>
      <c r="E302" s="441"/>
      <c r="F302" s="564"/>
      <c r="G302" s="740">
        <v>2500</v>
      </c>
      <c r="H302" s="486">
        <f t="shared" si="102"/>
        <v>0</v>
      </c>
      <c r="I302" s="397">
        <f t="shared" ca="1" si="99"/>
        <v>0</v>
      </c>
      <c r="J302" s="397">
        <f t="shared" ca="1" si="100"/>
        <v>0</v>
      </c>
      <c r="K302" s="442">
        <v>5000</v>
      </c>
      <c r="L302" s="433"/>
      <c r="N302" s="442"/>
      <c r="O302" s="655"/>
      <c r="P302" s="433"/>
      <c r="Q302" s="433"/>
      <c r="R302" s="433"/>
      <c r="S302" s="433"/>
      <c r="T302" s="433"/>
      <c r="U302" s="433"/>
      <c r="V302" s="433"/>
      <c r="W302" s="433"/>
      <c r="X302" s="433"/>
      <c r="Y302" s="433"/>
      <c r="Z302" s="433"/>
      <c r="AA302" s="433"/>
    </row>
    <row r="303" spans="1:27" s="491" customFormat="1" ht="15" customHeight="1" x14ac:dyDescent="0.5">
      <c r="A303" s="743"/>
      <c r="B303" s="446" t="str">
        <f t="shared" si="103"/>
        <v>6280-34</v>
      </c>
      <c r="C303" s="744" t="s">
        <v>391</v>
      </c>
      <c r="D303" s="745"/>
      <c r="E303" s="745"/>
      <c r="F303" s="745"/>
      <c r="G303" s="746">
        <v>10700</v>
      </c>
      <c r="H303" s="746">
        <f t="shared" si="102"/>
        <v>0</v>
      </c>
      <c r="I303" s="578">
        <f t="shared" ca="1" si="99"/>
        <v>0</v>
      </c>
      <c r="J303" s="578">
        <f t="shared" ca="1" si="100"/>
        <v>0</v>
      </c>
      <c r="K303" s="578">
        <v>10700</v>
      </c>
      <c r="L303" s="433"/>
      <c r="N303" s="442"/>
      <c r="O303" s="618"/>
      <c r="P303" s="433"/>
      <c r="Q303" s="433"/>
      <c r="R303" s="433"/>
      <c r="S303" s="433"/>
      <c r="T303" s="433"/>
      <c r="U303" s="433"/>
      <c r="V303" s="433"/>
      <c r="W303" s="433"/>
      <c r="X303" s="433"/>
      <c r="Y303" s="433"/>
      <c r="Z303" s="433"/>
      <c r="AA303" s="433"/>
    </row>
    <row r="304" spans="1:27" s="491" customFormat="1" ht="14.6" x14ac:dyDescent="0.4">
      <c r="A304" s="438"/>
      <c r="B304" s="438" t="str">
        <f t="shared" si="103"/>
        <v>6280-35</v>
      </c>
      <c r="C304" s="739" t="s">
        <v>392</v>
      </c>
      <c r="D304" s="384"/>
      <c r="E304" s="384"/>
      <c r="F304" s="384"/>
      <c r="G304" s="740">
        <v>1250</v>
      </c>
      <c r="H304" s="486">
        <f t="shared" si="102"/>
        <v>0</v>
      </c>
      <c r="I304" s="397">
        <f t="shared" ca="1" si="99"/>
        <v>0</v>
      </c>
      <c r="J304" s="397">
        <f t="shared" ca="1" si="100"/>
        <v>0</v>
      </c>
      <c r="K304" s="442">
        <v>1250</v>
      </c>
      <c r="L304" s="433"/>
      <c r="N304" s="442"/>
      <c r="O304" s="618"/>
      <c r="P304" s="433"/>
      <c r="Q304" s="433"/>
      <c r="R304" s="433"/>
      <c r="S304" s="433"/>
      <c r="T304" s="433"/>
      <c r="U304" s="433"/>
      <c r="V304" s="433"/>
      <c r="W304" s="433"/>
      <c r="X304" s="433"/>
      <c r="Y304" s="433"/>
      <c r="Z304" s="433"/>
      <c r="AA304" s="433"/>
    </row>
    <row r="305" spans="1:27" s="491" customFormat="1" ht="14.6" x14ac:dyDescent="0.4">
      <c r="A305" s="451"/>
      <c r="B305" s="446" t="str">
        <f t="shared" si="103"/>
        <v>6280-36</v>
      </c>
      <c r="C305" s="524" t="s">
        <v>393</v>
      </c>
      <c r="D305" s="515"/>
      <c r="E305" s="456"/>
      <c r="F305" s="515"/>
      <c r="G305" s="525">
        <v>340</v>
      </c>
      <c r="H305" s="746">
        <f t="shared" si="102"/>
        <v>0</v>
      </c>
      <c r="I305" s="578">
        <f t="shared" ca="1" si="99"/>
        <v>0</v>
      </c>
      <c r="J305" s="578">
        <f t="shared" ca="1" si="100"/>
        <v>0</v>
      </c>
      <c r="K305" s="455">
        <v>340</v>
      </c>
      <c r="L305" s="433"/>
      <c r="N305" s="442"/>
      <c r="O305" s="618"/>
      <c r="P305" s="433"/>
      <c r="Q305" s="433"/>
      <c r="R305" s="433"/>
      <c r="S305" s="433"/>
      <c r="T305" s="433"/>
      <c r="U305" s="433"/>
      <c r="V305" s="433"/>
      <c r="W305" s="433"/>
      <c r="X305" s="433"/>
      <c r="Y305" s="433"/>
      <c r="Z305" s="433"/>
      <c r="AA305" s="433"/>
    </row>
    <row r="306" spans="1:27" s="491" customFormat="1" ht="14.6" x14ac:dyDescent="0.4">
      <c r="A306" s="438"/>
      <c r="B306" s="438" t="str">
        <f t="shared" si="103"/>
        <v>6280-37</v>
      </c>
      <c r="C306" s="739" t="s">
        <v>394</v>
      </c>
      <c r="D306" s="564"/>
      <c r="E306" s="441"/>
      <c r="F306" s="564"/>
      <c r="G306" s="740">
        <v>725</v>
      </c>
      <c r="H306" s="486">
        <f t="shared" si="102"/>
        <v>0</v>
      </c>
      <c r="I306" s="397">
        <f t="shared" ca="1" si="99"/>
        <v>0</v>
      </c>
      <c r="J306" s="397">
        <f t="shared" ca="1" si="100"/>
        <v>0</v>
      </c>
      <c r="K306" s="442">
        <v>725</v>
      </c>
      <c r="L306" s="433"/>
      <c r="N306" s="442"/>
      <c r="O306" s="618"/>
      <c r="P306" s="433"/>
      <c r="Q306" s="433"/>
      <c r="R306" s="433"/>
      <c r="S306" s="433"/>
      <c r="T306" s="433"/>
      <c r="U306" s="433"/>
      <c r="V306" s="433"/>
      <c r="W306" s="433"/>
      <c r="X306" s="433"/>
      <c r="Y306" s="433"/>
      <c r="Z306" s="433"/>
      <c r="AA306" s="433"/>
    </row>
    <row r="307" spans="1:27" s="491" customFormat="1" ht="14.6" x14ac:dyDescent="0.4">
      <c r="A307" s="451"/>
      <c r="B307" s="446" t="str">
        <f t="shared" si="103"/>
        <v>6280-38</v>
      </c>
      <c r="C307" s="524" t="s">
        <v>395</v>
      </c>
      <c r="D307" s="515"/>
      <c r="E307" s="456"/>
      <c r="F307" s="515"/>
      <c r="G307" s="525">
        <v>2100</v>
      </c>
      <c r="H307" s="746">
        <f t="shared" si="102"/>
        <v>0</v>
      </c>
      <c r="I307" s="578">
        <f t="shared" ca="1" si="99"/>
        <v>0</v>
      </c>
      <c r="J307" s="578">
        <f t="shared" ca="1" si="100"/>
        <v>0</v>
      </c>
      <c r="K307" s="455">
        <v>2100</v>
      </c>
      <c r="L307" s="433"/>
      <c r="N307" s="442"/>
      <c r="O307" s="618"/>
      <c r="P307" s="433"/>
      <c r="Q307" s="433"/>
      <c r="R307" s="433"/>
      <c r="S307" s="433"/>
      <c r="T307" s="433"/>
      <c r="U307" s="433"/>
      <c r="V307" s="433"/>
      <c r="W307" s="433"/>
      <c r="X307" s="433"/>
      <c r="Y307" s="433"/>
      <c r="Z307" s="433"/>
      <c r="AA307" s="433"/>
    </row>
    <row r="308" spans="1:27" s="491" customFormat="1" ht="14.6" x14ac:dyDescent="0.4">
      <c r="A308" s="438"/>
      <c r="B308" s="438" t="str">
        <f t="shared" si="103"/>
        <v>6280-39</v>
      </c>
      <c r="C308" s="739" t="s">
        <v>396</v>
      </c>
      <c r="D308" s="564"/>
      <c r="E308" s="441"/>
      <c r="F308" s="564"/>
      <c r="G308" s="740">
        <v>335</v>
      </c>
      <c r="H308" s="486">
        <f t="shared" si="102"/>
        <v>0</v>
      </c>
      <c r="I308" s="397">
        <f t="shared" ca="1" si="99"/>
        <v>0</v>
      </c>
      <c r="J308" s="397">
        <f t="shared" ca="1" si="100"/>
        <v>0</v>
      </c>
      <c r="K308" s="442">
        <v>335</v>
      </c>
      <c r="L308" s="433"/>
      <c r="N308" s="442"/>
      <c r="O308" s="618"/>
      <c r="P308" s="433"/>
      <c r="Q308" s="433"/>
      <c r="R308" s="433"/>
      <c r="S308" s="433"/>
      <c r="T308" s="433"/>
      <c r="U308" s="433"/>
      <c r="V308" s="433"/>
      <c r="W308" s="433"/>
      <c r="X308" s="433"/>
      <c r="Y308" s="433"/>
      <c r="Z308" s="433"/>
      <c r="AA308" s="433"/>
    </row>
    <row r="309" spans="1:27" s="491" customFormat="1" ht="14.6" x14ac:dyDescent="0.4">
      <c r="A309" s="451"/>
      <c r="B309" s="446" t="str">
        <f t="shared" si="103"/>
        <v>6280-40</v>
      </c>
      <c r="C309" s="458" t="s">
        <v>398</v>
      </c>
      <c r="D309" s="515"/>
      <c r="E309" s="456">
        <v>1</v>
      </c>
      <c r="F309" s="515"/>
      <c r="G309" s="454">
        <v>4500</v>
      </c>
      <c r="H309" s="379">
        <f t="shared" si="102"/>
        <v>4500</v>
      </c>
      <c r="I309" s="578">
        <f t="shared" ca="1" si="99"/>
        <v>-4078.75</v>
      </c>
      <c r="J309" s="578">
        <f t="shared" ca="1" si="100"/>
        <v>421.25</v>
      </c>
      <c r="K309" s="455">
        <v>4000</v>
      </c>
      <c r="L309" s="433"/>
      <c r="N309" s="442"/>
      <c r="O309" s="618"/>
      <c r="P309" s="433"/>
      <c r="Q309" s="433"/>
      <c r="R309" s="433"/>
      <c r="S309" s="433"/>
      <c r="T309" s="433"/>
      <c r="U309" s="433"/>
      <c r="V309" s="433"/>
      <c r="W309" s="433"/>
      <c r="X309" s="433"/>
      <c r="Y309" s="433"/>
      <c r="Z309" s="433"/>
      <c r="AA309" s="433"/>
    </row>
    <row r="310" spans="1:27" s="491" customFormat="1" ht="14.6" x14ac:dyDescent="0.4">
      <c r="A310" s="741"/>
      <c r="B310" s="438" t="str">
        <f t="shared" si="103"/>
        <v>6280-41</v>
      </c>
      <c r="C310" s="384" t="s">
        <v>399</v>
      </c>
      <c r="D310" s="564"/>
      <c r="E310" s="441">
        <v>1</v>
      </c>
      <c r="F310" s="564"/>
      <c r="G310" s="388">
        <v>5885</v>
      </c>
      <c r="H310" s="389">
        <f t="shared" si="102"/>
        <v>5885</v>
      </c>
      <c r="I310" s="397">
        <f t="shared" ca="1" si="99"/>
        <v>-2599</v>
      </c>
      <c r="J310" s="397">
        <f t="shared" ca="1" si="100"/>
        <v>3286</v>
      </c>
      <c r="K310" s="442">
        <v>5605</v>
      </c>
      <c r="L310" s="433"/>
      <c r="M310" s="433"/>
      <c r="N310" s="442"/>
      <c r="O310" s="618"/>
      <c r="P310" s="433"/>
      <c r="Q310" s="433"/>
      <c r="R310" s="433"/>
      <c r="S310" s="433"/>
      <c r="T310" s="433"/>
      <c r="U310" s="433"/>
      <c r="V310" s="433"/>
      <c r="W310" s="433"/>
      <c r="X310" s="433"/>
      <c r="Y310" s="433"/>
      <c r="Z310" s="433"/>
      <c r="AA310" s="433"/>
    </row>
    <row r="311" spans="1:27" s="491" customFormat="1" ht="14.6" x14ac:dyDescent="0.4">
      <c r="A311" s="451"/>
      <c r="B311" s="446" t="str">
        <f t="shared" si="103"/>
        <v>6280-42</v>
      </c>
      <c r="C311" s="575" t="s">
        <v>400</v>
      </c>
      <c r="D311" s="457"/>
      <c r="E311" s="456">
        <v>1</v>
      </c>
      <c r="F311" s="457"/>
      <c r="G311" s="454">
        <v>3131</v>
      </c>
      <c r="H311" s="379">
        <f t="shared" si="102"/>
        <v>3131</v>
      </c>
      <c r="I311" s="578">
        <f t="shared" ca="1" si="99"/>
        <v>-2893</v>
      </c>
      <c r="J311" s="578">
        <f t="shared" ca="1" si="100"/>
        <v>238</v>
      </c>
      <c r="K311" s="455">
        <v>2981</v>
      </c>
      <c r="L311" s="433"/>
      <c r="M311" s="433"/>
      <c r="N311" s="442"/>
      <c r="O311" s="618"/>
      <c r="P311" s="433"/>
      <c r="Q311" s="433"/>
      <c r="R311" s="433"/>
      <c r="S311" s="433"/>
      <c r="T311" s="433"/>
      <c r="U311" s="433"/>
      <c r="V311" s="433"/>
      <c r="W311" s="433"/>
      <c r="X311" s="433"/>
      <c r="Y311" s="433"/>
      <c r="Z311" s="433"/>
      <c r="AA311" s="433"/>
    </row>
    <row r="312" spans="1:27" s="491" customFormat="1" ht="14.6" x14ac:dyDescent="0.4">
      <c r="A312" s="438"/>
      <c r="B312" s="438" t="str">
        <f t="shared" si="103"/>
        <v>6280-43</v>
      </c>
      <c r="C312" s="398" t="s">
        <v>401</v>
      </c>
      <c r="D312" s="440"/>
      <c r="E312" s="441">
        <v>1</v>
      </c>
      <c r="F312" s="440"/>
      <c r="G312" s="388">
        <v>3000</v>
      </c>
      <c r="H312" s="389">
        <f t="shared" si="102"/>
        <v>3000</v>
      </c>
      <c r="I312" s="397">
        <f t="shared" ca="1" si="99"/>
        <v>-3000</v>
      </c>
      <c r="J312" s="397">
        <f t="shared" ca="1" si="100"/>
        <v>0</v>
      </c>
      <c r="K312" s="442">
        <v>3000</v>
      </c>
      <c r="L312" s="433"/>
      <c r="M312" s="433"/>
      <c r="N312" s="442"/>
      <c r="O312" s="618"/>
      <c r="P312" s="433"/>
      <c r="Q312" s="433"/>
      <c r="R312" s="433"/>
      <c r="S312" s="433"/>
      <c r="T312" s="433"/>
      <c r="U312" s="433"/>
      <c r="V312" s="433"/>
      <c r="W312" s="433"/>
      <c r="X312" s="433"/>
      <c r="Y312" s="433"/>
      <c r="Z312" s="433"/>
      <c r="AA312" s="433"/>
    </row>
    <row r="313" spans="1:27" s="491" customFormat="1" ht="14.6" x14ac:dyDescent="0.4">
      <c r="A313" s="451"/>
      <c r="B313" s="446" t="str">
        <f t="shared" si="103"/>
        <v>6280-44</v>
      </c>
      <c r="C313" s="562" t="s">
        <v>402</v>
      </c>
      <c r="D313" s="453"/>
      <c r="E313" s="453">
        <v>1</v>
      </c>
      <c r="F313" s="664"/>
      <c r="G313" s="454">
        <v>2200</v>
      </c>
      <c r="H313" s="379">
        <f t="shared" si="102"/>
        <v>2200</v>
      </c>
      <c r="I313" s="578">
        <f t="shared" ca="1" si="99"/>
        <v>-1323</v>
      </c>
      <c r="J313" s="578">
        <f t="shared" ca="1" si="100"/>
        <v>877</v>
      </c>
      <c r="K313" s="455">
        <v>2200</v>
      </c>
      <c r="L313" s="433"/>
      <c r="M313" s="489"/>
      <c r="N313" s="442"/>
      <c r="O313" s="652"/>
      <c r="P313" s="433"/>
      <c r="Q313" s="433"/>
      <c r="R313" s="433"/>
      <c r="S313" s="433"/>
      <c r="T313" s="433"/>
      <c r="U313" s="433"/>
      <c r="V313" s="433"/>
      <c r="W313" s="433"/>
      <c r="X313" s="433"/>
      <c r="Y313" s="433"/>
      <c r="Z313" s="433"/>
      <c r="AA313" s="433"/>
    </row>
    <row r="314" spans="1:27" s="491" customFormat="1" ht="14.6" x14ac:dyDescent="0.4">
      <c r="A314" s="438"/>
      <c r="B314" s="438" t="str">
        <f t="shared" si="103"/>
        <v>6280-45</v>
      </c>
      <c r="C314" s="391" t="s">
        <v>403</v>
      </c>
      <c r="D314" s="500"/>
      <c r="E314" s="500">
        <v>14</v>
      </c>
      <c r="F314" s="742"/>
      <c r="G314" s="388">
        <v>490</v>
      </c>
      <c r="H314" s="389">
        <f t="shared" si="102"/>
        <v>6860</v>
      </c>
      <c r="I314" s="397">
        <f t="shared" ca="1" si="99"/>
        <v>-6801.1400000000021</v>
      </c>
      <c r="J314" s="397">
        <f t="shared" ca="1" si="100"/>
        <v>58.859999999997854</v>
      </c>
      <c r="K314" s="442">
        <v>8611.1999999999989</v>
      </c>
      <c r="L314" s="433"/>
      <c r="M314" s="489"/>
      <c r="N314" s="442"/>
      <c r="O314" s="652"/>
      <c r="P314" s="433"/>
      <c r="Q314" s="433"/>
      <c r="R314" s="433"/>
      <c r="S314" s="433"/>
      <c r="T314" s="433"/>
      <c r="U314" s="433"/>
      <c r="V314" s="433"/>
      <c r="W314" s="433"/>
      <c r="X314" s="433"/>
      <c r="Y314" s="433"/>
      <c r="Z314" s="433"/>
      <c r="AA314" s="433"/>
    </row>
    <row r="315" spans="1:27" s="491" customFormat="1" ht="14.6" x14ac:dyDescent="0.4">
      <c r="A315" s="451"/>
      <c r="B315" s="446" t="str">
        <f t="shared" si="103"/>
        <v>6280-46</v>
      </c>
      <c r="C315" s="458" t="s">
        <v>404</v>
      </c>
      <c r="D315" s="459"/>
      <c r="E315" s="453">
        <v>1</v>
      </c>
      <c r="F315" s="459"/>
      <c r="G315" s="454">
        <v>112725</v>
      </c>
      <c r="H315" s="379">
        <f t="shared" si="102"/>
        <v>112725</v>
      </c>
      <c r="I315" s="578">
        <f t="shared" ca="1" si="99"/>
        <v>-112725</v>
      </c>
      <c r="J315" s="578">
        <f t="shared" ca="1" si="100"/>
        <v>0</v>
      </c>
      <c r="K315" s="455">
        <v>108389</v>
      </c>
      <c r="L315" s="433"/>
      <c r="M315" s="489"/>
      <c r="N315" s="442"/>
      <c r="O315" s="618"/>
      <c r="P315" s="433"/>
      <c r="Q315" s="433"/>
      <c r="R315" s="433"/>
      <c r="S315" s="433"/>
      <c r="T315" s="433"/>
      <c r="U315" s="433"/>
      <c r="V315" s="433"/>
      <c r="W315" s="433"/>
      <c r="X315" s="433"/>
      <c r="Y315" s="433"/>
      <c r="Z315" s="433"/>
      <c r="AA315" s="433"/>
    </row>
    <row r="316" spans="1:27" s="491" customFormat="1" ht="14.6" x14ac:dyDescent="0.4">
      <c r="A316" s="438"/>
      <c r="B316" s="438" t="str">
        <f t="shared" si="103"/>
        <v>6280-47</v>
      </c>
      <c r="C316" s="674" t="s">
        <v>405</v>
      </c>
      <c r="D316" s="610"/>
      <c r="E316" s="500">
        <v>1</v>
      </c>
      <c r="F316" s="610"/>
      <c r="G316" s="388">
        <v>1660</v>
      </c>
      <c r="H316" s="389">
        <f t="shared" si="102"/>
        <v>1660</v>
      </c>
      <c r="I316" s="397">
        <f t="shared" ca="1" si="99"/>
        <v>-1660</v>
      </c>
      <c r="J316" s="397">
        <f t="shared" ca="1" si="100"/>
        <v>0</v>
      </c>
      <c r="K316" s="442">
        <v>1596</v>
      </c>
      <c r="L316" s="433"/>
      <c r="M316" s="489"/>
      <c r="N316" s="442"/>
      <c r="O316" s="618"/>
      <c r="P316" s="433"/>
      <c r="Q316" s="433"/>
      <c r="R316" s="433"/>
      <c r="S316" s="433"/>
      <c r="T316" s="433"/>
      <c r="U316" s="433"/>
      <c r="V316" s="433"/>
      <c r="W316" s="433"/>
      <c r="X316" s="433"/>
      <c r="Y316" s="433"/>
      <c r="Z316" s="433"/>
      <c r="AA316" s="433"/>
    </row>
    <row r="317" spans="1:27" s="491" customFormat="1" ht="14.6" x14ac:dyDescent="0.4">
      <c r="A317" s="451"/>
      <c r="B317" s="446" t="str">
        <f t="shared" si="103"/>
        <v>6280-48</v>
      </c>
      <c r="C317" s="575" t="s">
        <v>406</v>
      </c>
      <c r="D317" s="457"/>
      <c r="E317" s="456">
        <v>1</v>
      </c>
      <c r="F317" s="457"/>
      <c r="G317" s="454">
        <v>3920</v>
      </c>
      <c r="H317" s="379">
        <f t="shared" si="102"/>
        <v>3920</v>
      </c>
      <c r="I317" s="578">
        <f t="shared" ca="1" si="99"/>
        <v>-3915</v>
      </c>
      <c r="J317" s="578">
        <f t="shared" ca="1" si="100"/>
        <v>5</v>
      </c>
      <c r="K317" s="455">
        <v>3766</v>
      </c>
      <c r="L317" s="433"/>
      <c r="M317" s="489"/>
      <c r="N317" s="442"/>
      <c r="O317" s="618"/>
      <c r="P317" s="433"/>
      <c r="Q317" s="433"/>
      <c r="R317" s="433"/>
      <c r="S317" s="433"/>
      <c r="T317" s="433"/>
      <c r="U317" s="433"/>
      <c r="V317" s="433"/>
      <c r="W317" s="433"/>
      <c r="X317" s="433"/>
      <c r="Y317" s="433"/>
      <c r="Z317" s="433"/>
      <c r="AA317" s="433"/>
    </row>
    <row r="318" spans="1:27" s="491" customFormat="1" ht="14.6" x14ac:dyDescent="0.4">
      <c r="A318" s="383"/>
      <c r="B318" s="438" t="str">
        <f t="shared" si="103"/>
        <v>6280-49</v>
      </c>
      <c r="C318" s="398" t="s">
        <v>407</v>
      </c>
      <c r="D318" s="440"/>
      <c r="E318" s="441">
        <v>1</v>
      </c>
      <c r="F318" s="440"/>
      <c r="G318" s="388">
        <v>3385</v>
      </c>
      <c r="H318" s="389">
        <f t="shared" si="102"/>
        <v>3385</v>
      </c>
      <c r="I318" s="397">
        <f t="shared" ca="1" si="99"/>
        <v>-3385</v>
      </c>
      <c r="J318" s="397">
        <f t="shared" ca="1" si="100"/>
        <v>0</v>
      </c>
      <c r="K318" s="442">
        <v>3253</v>
      </c>
      <c r="L318" s="433"/>
      <c r="M318" s="489"/>
      <c r="N318" s="442"/>
      <c r="O318" s="618"/>
      <c r="P318" s="433"/>
      <c r="Q318" s="433"/>
      <c r="R318" s="433"/>
      <c r="S318" s="433"/>
      <c r="T318" s="433"/>
      <c r="U318" s="433"/>
      <c r="V318" s="433"/>
      <c r="W318" s="433"/>
      <c r="X318" s="433"/>
      <c r="Y318" s="433"/>
      <c r="Z318" s="433"/>
      <c r="AA318" s="433"/>
    </row>
    <row r="319" spans="1:27" s="491" customFormat="1" ht="14.6" x14ac:dyDescent="0.4">
      <c r="A319" s="561"/>
      <c r="B319" s="446" t="str">
        <f t="shared" si="103"/>
        <v>6280-50</v>
      </c>
      <c r="C319" s="575" t="s">
        <v>408</v>
      </c>
      <c r="D319" s="457"/>
      <c r="E319" s="456">
        <v>1</v>
      </c>
      <c r="F319" s="457"/>
      <c r="G319" s="454">
        <v>1660</v>
      </c>
      <c r="H319" s="379">
        <f t="shared" si="102"/>
        <v>1660</v>
      </c>
      <c r="I319" s="578">
        <f t="shared" ca="1" si="99"/>
        <v>0</v>
      </c>
      <c r="J319" s="578">
        <f t="shared" ca="1" si="100"/>
        <v>1660</v>
      </c>
      <c r="K319" s="455">
        <v>1596</v>
      </c>
      <c r="L319" s="433"/>
      <c r="M319" s="489"/>
      <c r="N319" s="442"/>
      <c r="O319" s="618"/>
      <c r="P319" s="433"/>
      <c r="Q319" s="433"/>
      <c r="R319" s="433"/>
      <c r="S319" s="433"/>
      <c r="T319" s="433"/>
      <c r="U319" s="433"/>
      <c r="V319" s="433"/>
      <c r="W319" s="433"/>
      <c r="X319" s="433"/>
      <c r="Y319" s="433"/>
      <c r="Z319" s="433"/>
      <c r="AA319" s="433"/>
    </row>
    <row r="320" spans="1:27" s="491" customFormat="1" ht="14.6" x14ac:dyDescent="0.4">
      <c r="A320" s="383"/>
      <c r="B320" s="438" t="str">
        <f t="shared" si="103"/>
        <v>6280-51</v>
      </c>
      <c r="C320" s="398" t="s">
        <v>409</v>
      </c>
      <c r="D320" s="440"/>
      <c r="E320" s="441">
        <v>1</v>
      </c>
      <c r="F320" s="440"/>
      <c r="G320" s="388">
        <v>3380</v>
      </c>
      <c r="H320" s="389">
        <f t="shared" si="102"/>
        <v>3380</v>
      </c>
      <c r="I320" s="397">
        <f t="shared" ca="1" si="99"/>
        <v>0</v>
      </c>
      <c r="J320" s="397">
        <f t="shared" ca="1" si="100"/>
        <v>3380</v>
      </c>
      <c r="K320" s="442">
        <v>3245</v>
      </c>
      <c r="L320" s="433"/>
      <c r="M320" s="489"/>
      <c r="N320" s="442"/>
      <c r="O320" s="618"/>
      <c r="P320" s="433"/>
      <c r="Q320" s="433"/>
      <c r="R320" s="433"/>
      <c r="S320" s="433"/>
      <c r="T320" s="433"/>
      <c r="U320" s="433"/>
      <c r="V320" s="433"/>
      <c r="W320" s="433"/>
      <c r="X320" s="433"/>
      <c r="Y320" s="433"/>
      <c r="Z320" s="433"/>
      <c r="AA320" s="433"/>
    </row>
    <row r="321" spans="1:27" s="491" customFormat="1" ht="14.6" x14ac:dyDescent="0.4">
      <c r="A321" s="451"/>
      <c r="B321" s="446" t="str">
        <f t="shared" si="103"/>
        <v>6280-52</v>
      </c>
      <c r="C321" s="562" t="s">
        <v>410</v>
      </c>
      <c r="D321" s="453"/>
      <c r="E321" s="453">
        <v>1</v>
      </c>
      <c r="F321" s="664"/>
      <c r="G321" s="454">
        <v>2795</v>
      </c>
      <c r="H321" s="379">
        <f t="shared" si="102"/>
        <v>2795</v>
      </c>
      <c r="I321" s="578">
        <f t="shared" ca="1" si="99"/>
        <v>-2705</v>
      </c>
      <c r="J321" s="578">
        <f t="shared" ca="1" si="100"/>
        <v>90</v>
      </c>
      <c r="K321" s="455">
        <v>2685</v>
      </c>
      <c r="L321" s="433"/>
      <c r="M321" s="489"/>
      <c r="N321" s="442"/>
      <c r="O321" s="618"/>
      <c r="P321" s="433"/>
      <c r="Q321" s="433"/>
      <c r="R321" s="433"/>
      <c r="S321" s="433"/>
      <c r="T321" s="433"/>
      <c r="U321" s="433"/>
      <c r="V321" s="433"/>
      <c r="W321" s="433"/>
      <c r="X321" s="433"/>
      <c r="Y321" s="433"/>
      <c r="Z321" s="433"/>
      <c r="AA321" s="433"/>
    </row>
    <row r="322" spans="1:27" s="491" customFormat="1" ht="14.6" x14ac:dyDescent="0.4">
      <c r="A322" s="383" t="s">
        <v>411</v>
      </c>
      <c r="B322" s="438" t="str">
        <f t="shared" si="103"/>
        <v>6280-53</v>
      </c>
      <c r="C322" s="391" t="s">
        <v>412</v>
      </c>
      <c r="D322" s="500"/>
      <c r="E322" s="500">
        <v>1</v>
      </c>
      <c r="F322" s="742"/>
      <c r="G322" s="388">
        <v>16000</v>
      </c>
      <c r="H322" s="389">
        <f t="shared" si="102"/>
        <v>16000</v>
      </c>
      <c r="I322" s="397">
        <f t="shared" ca="1" si="99"/>
        <v>0</v>
      </c>
      <c r="J322" s="397">
        <f t="shared" ca="1" si="100"/>
        <v>16000</v>
      </c>
      <c r="K322" s="442">
        <v>16000</v>
      </c>
      <c r="L322" s="433"/>
      <c r="M322" s="433"/>
      <c r="N322" s="442"/>
      <c r="O322" s="652"/>
      <c r="P322" s="433"/>
      <c r="Q322" s="433"/>
      <c r="R322" s="433"/>
      <c r="S322" s="433"/>
      <c r="T322" s="433"/>
      <c r="U322" s="433"/>
      <c r="V322" s="433"/>
      <c r="W322" s="433"/>
      <c r="X322" s="433"/>
      <c r="Y322" s="433"/>
      <c r="Z322" s="433"/>
      <c r="AA322" s="433"/>
    </row>
    <row r="323" spans="1:27" s="491" customFormat="1" ht="14.6" x14ac:dyDescent="0.4">
      <c r="A323" s="451"/>
      <c r="B323" s="446" t="str">
        <f t="shared" si="103"/>
        <v>6280-54</v>
      </c>
      <c r="C323" s="747" t="s">
        <v>546</v>
      </c>
      <c r="D323" s="515"/>
      <c r="E323" s="456">
        <v>1</v>
      </c>
      <c r="F323" s="515"/>
      <c r="G323" s="454">
        <v>250</v>
      </c>
      <c r="H323" s="379">
        <f t="shared" si="102"/>
        <v>250</v>
      </c>
      <c r="I323" s="578">
        <f t="shared" ca="1" si="99"/>
        <v>0</v>
      </c>
      <c r="J323" s="578">
        <f t="shared" ca="1" si="100"/>
        <v>250</v>
      </c>
      <c r="K323" s="455">
        <v>500</v>
      </c>
      <c r="L323" s="433"/>
      <c r="M323" s="384"/>
      <c r="N323" s="442"/>
      <c r="O323" s="655"/>
      <c r="P323" s="433"/>
      <c r="Q323" s="433"/>
      <c r="R323" s="433"/>
      <c r="S323" s="433"/>
      <c r="T323" s="433"/>
      <c r="U323" s="433"/>
      <c r="V323" s="433"/>
      <c r="W323" s="433"/>
      <c r="X323" s="433"/>
      <c r="Y323" s="433"/>
      <c r="Z323" s="433"/>
      <c r="AA323" s="433"/>
    </row>
    <row r="324" spans="1:27" s="491" customFormat="1" ht="14.6" x14ac:dyDescent="0.4">
      <c r="A324" s="796"/>
      <c r="B324" s="438" t="str">
        <f t="shared" si="103"/>
        <v>6280-55</v>
      </c>
      <c r="C324" s="797" t="s">
        <v>554</v>
      </c>
      <c r="D324" s="798"/>
      <c r="E324" s="799">
        <v>1</v>
      </c>
      <c r="F324" s="798"/>
      <c r="G324" s="779">
        <v>1200</v>
      </c>
      <c r="H324" s="378">
        <f t="shared" si="102"/>
        <v>1200</v>
      </c>
      <c r="I324" s="397">
        <f t="shared" ca="1" si="99"/>
        <v>-1200</v>
      </c>
      <c r="J324" s="397">
        <f t="shared" ca="1" si="100"/>
        <v>0</v>
      </c>
      <c r="K324" s="800"/>
      <c r="L324" s="433"/>
      <c r="M324" s="384"/>
      <c r="N324" s="442"/>
      <c r="O324" s="655"/>
      <c r="P324" s="433"/>
      <c r="Q324" s="433"/>
      <c r="R324" s="433"/>
      <c r="S324" s="433"/>
      <c r="T324" s="433"/>
      <c r="U324" s="433"/>
      <c r="V324" s="433"/>
      <c r="W324" s="433"/>
      <c r="X324" s="433"/>
      <c r="Y324" s="433"/>
      <c r="Z324" s="433"/>
      <c r="AA324" s="433"/>
    </row>
    <row r="325" spans="1:27" s="491" customFormat="1" ht="14.6" x14ac:dyDescent="0.4">
      <c r="A325" s="446"/>
      <c r="B325" s="446" t="str">
        <f t="shared" si="103"/>
        <v>6280-56</v>
      </c>
      <c r="C325" s="522" t="s">
        <v>413</v>
      </c>
      <c r="D325" s="506"/>
      <c r="E325" s="448"/>
      <c r="F325" s="506"/>
      <c r="G325" s="523">
        <v>1100</v>
      </c>
      <c r="H325" s="465">
        <f t="shared" si="102"/>
        <v>0</v>
      </c>
      <c r="I325" s="578">
        <f t="shared" ca="1" si="99"/>
        <v>0</v>
      </c>
      <c r="J325" s="578">
        <f t="shared" ca="1" si="100"/>
        <v>0</v>
      </c>
      <c r="K325" s="449">
        <v>1100</v>
      </c>
      <c r="L325" s="433"/>
      <c r="M325" s="384"/>
      <c r="N325" s="442"/>
      <c r="O325" s="655"/>
      <c r="P325" s="433"/>
      <c r="Q325" s="433"/>
      <c r="R325" s="433"/>
      <c r="S325" s="433"/>
      <c r="T325" s="433"/>
      <c r="U325" s="433"/>
      <c r="V325" s="433"/>
      <c r="W325" s="433"/>
      <c r="X325" s="433"/>
      <c r="Y325" s="433"/>
      <c r="Z325" s="433"/>
      <c r="AA325" s="433"/>
    </row>
    <row r="326" spans="1:27" s="491" customFormat="1" ht="14.6" x14ac:dyDescent="0.4">
      <c r="A326" s="434"/>
      <c r="B326" s="438" t="str">
        <f t="shared" si="103"/>
        <v>6280-57</v>
      </c>
      <c r="C326" s="521" t="s">
        <v>414</v>
      </c>
      <c r="D326" s="499"/>
      <c r="E326" s="435"/>
      <c r="F326" s="499"/>
      <c r="G326" s="519">
        <v>1100</v>
      </c>
      <c r="H326" s="520">
        <f t="shared" si="102"/>
        <v>0</v>
      </c>
      <c r="I326" s="397">
        <f t="shared" ca="1" si="99"/>
        <v>0</v>
      </c>
      <c r="J326" s="397">
        <f t="shared" ca="1" si="100"/>
        <v>0</v>
      </c>
      <c r="K326" s="437">
        <v>1100</v>
      </c>
      <c r="L326" s="433"/>
      <c r="M326" s="384"/>
      <c r="N326" s="442"/>
      <c r="O326" s="655"/>
      <c r="P326" s="433"/>
      <c r="Q326" s="433"/>
      <c r="R326" s="433"/>
      <c r="S326" s="433"/>
      <c r="T326" s="433"/>
      <c r="U326" s="433"/>
      <c r="V326" s="433"/>
      <c r="W326" s="433"/>
      <c r="X326" s="433"/>
      <c r="Y326" s="433"/>
      <c r="Z326" s="433"/>
      <c r="AA326" s="433"/>
    </row>
    <row r="327" spans="1:27" s="491" customFormat="1" ht="14.6" x14ac:dyDescent="0.4">
      <c r="A327" s="446"/>
      <c r="B327" s="446" t="str">
        <f t="shared" si="103"/>
        <v>6280-58</v>
      </c>
      <c r="C327" s="522" t="s">
        <v>415</v>
      </c>
      <c r="D327" s="506"/>
      <c r="E327" s="448"/>
      <c r="F327" s="506"/>
      <c r="G327" s="523">
        <v>1100</v>
      </c>
      <c r="H327" s="465">
        <f t="shared" si="102"/>
        <v>0</v>
      </c>
      <c r="I327" s="578">
        <f t="shared" ca="1" si="99"/>
        <v>450</v>
      </c>
      <c r="J327" s="578">
        <f t="shared" ca="1" si="100"/>
        <v>450</v>
      </c>
      <c r="K327" s="449">
        <v>1100</v>
      </c>
      <c r="L327" s="433"/>
      <c r="M327" s="384"/>
      <c r="N327" s="442"/>
      <c r="O327" s="652"/>
      <c r="P327" s="433"/>
      <c r="Q327" s="433"/>
      <c r="R327" s="433"/>
      <c r="S327" s="433"/>
      <c r="T327" s="433"/>
      <c r="U327" s="433"/>
      <c r="V327" s="433"/>
      <c r="W327" s="433"/>
      <c r="X327" s="433"/>
      <c r="Y327" s="433"/>
      <c r="Z327" s="433"/>
      <c r="AA327" s="433"/>
    </row>
    <row r="328" spans="1:27" s="491" customFormat="1" ht="14.6" x14ac:dyDescent="0.4">
      <c r="A328" s="434"/>
      <c r="B328" s="438" t="str">
        <f t="shared" si="103"/>
        <v>6280-59</v>
      </c>
      <c r="C328" s="521" t="s">
        <v>416</v>
      </c>
      <c r="D328" s="499"/>
      <c r="E328" s="435"/>
      <c r="F328" s="499"/>
      <c r="G328" s="519">
        <v>1100</v>
      </c>
      <c r="H328" s="520">
        <f t="shared" si="102"/>
        <v>0</v>
      </c>
      <c r="I328" s="397">
        <f t="shared" ca="1" si="99"/>
        <v>0</v>
      </c>
      <c r="J328" s="397">
        <f t="shared" ca="1" si="100"/>
        <v>0</v>
      </c>
      <c r="K328" s="437">
        <v>1100</v>
      </c>
      <c r="L328" s="433"/>
      <c r="M328" s="384"/>
      <c r="N328" s="442"/>
      <c r="O328" s="652"/>
      <c r="P328" s="433"/>
      <c r="Q328" s="433"/>
      <c r="R328" s="433"/>
      <c r="S328" s="433"/>
      <c r="T328" s="433"/>
      <c r="U328" s="433"/>
      <c r="V328" s="433"/>
      <c r="W328" s="433"/>
      <c r="X328" s="433"/>
      <c r="Y328" s="433"/>
      <c r="Z328" s="433"/>
      <c r="AA328" s="433"/>
    </row>
    <row r="329" spans="1:27" s="491" customFormat="1" ht="14.6" x14ac:dyDescent="0.4">
      <c r="A329" s="446"/>
      <c r="B329" s="446" t="str">
        <f t="shared" si="103"/>
        <v>6280-60</v>
      </c>
      <c r="C329" s="522" t="s">
        <v>417</v>
      </c>
      <c r="D329" s="506"/>
      <c r="E329" s="448"/>
      <c r="F329" s="506"/>
      <c r="G329" s="523">
        <v>1100</v>
      </c>
      <c r="H329" s="465">
        <f t="shared" si="102"/>
        <v>0</v>
      </c>
      <c r="I329" s="578">
        <f t="shared" ca="1" si="99"/>
        <v>0</v>
      </c>
      <c r="J329" s="578">
        <f t="shared" ca="1" si="100"/>
        <v>0</v>
      </c>
      <c r="K329" s="449">
        <v>1100</v>
      </c>
      <c r="L329" s="433"/>
      <c r="M329" s="384"/>
      <c r="N329" s="442"/>
      <c r="O329" s="652"/>
      <c r="P329" s="433"/>
      <c r="Q329" s="433"/>
      <c r="R329" s="433"/>
      <c r="S329" s="433"/>
      <c r="T329" s="433"/>
      <c r="U329" s="433"/>
      <c r="V329" s="433"/>
      <c r="W329" s="433"/>
      <c r="X329" s="433"/>
      <c r="Y329" s="433"/>
      <c r="Z329" s="433"/>
      <c r="AA329" s="433"/>
    </row>
    <row r="330" spans="1:27" s="491" customFormat="1" ht="14.6" x14ac:dyDescent="0.4">
      <c r="A330" s="434"/>
      <c r="B330" s="438" t="str">
        <f t="shared" si="103"/>
        <v>6280-61</v>
      </c>
      <c r="C330" s="521" t="s">
        <v>418</v>
      </c>
      <c r="D330" s="499"/>
      <c r="E330" s="435"/>
      <c r="F330" s="499"/>
      <c r="G330" s="519">
        <v>1100</v>
      </c>
      <c r="H330" s="520">
        <f t="shared" si="102"/>
        <v>0</v>
      </c>
      <c r="I330" s="397">
        <f t="shared" ca="1" si="99"/>
        <v>0</v>
      </c>
      <c r="J330" s="397">
        <f t="shared" ca="1" si="100"/>
        <v>0</v>
      </c>
      <c r="K330" s="437">
        <v>1100</v>
      </c>
      <c r="L330" s="433"/>
      <c r="M330" s="384"/>
      <c r="N330" s="442"/>
      <c r="O330" s="652"/>
      <c r="P330" s="433"/>
      <c r="Q330" s="433"/>
      <c r="R330" s="433"/>
      <c r="S330" s="433"/>
      <c r="T330" s="433"/>
      <c r="U330" s="433"/>
      <c r="V330" s="433"/>
      <c r="W330" s="433"/>
      <c r="X330" s="433"/>
      <c r="Y330" s="433"/>
      <c r="Z330" s="433"/>
      <c r="AA330" s="433"/>
    </row>
    <row r="331" spans="1:27" s="491" customFormat="1" ht="14.6" x14ac:dyDescent="0.4">
      <c r="A331" s="446"/>
      <c r="B331" s="446" t="str">
        <f t="shared" si="103"/>
        <v>6280-62</v>
      </c>
      <c r="C331" s="659" t="s">
        <v>419</v>
      </c>
      <c r="D331" s="506"/>
      <c r="E331" s="448"/>
      <c r="F331" s="506"/>
      <c r="G331" s="523">
        <v>1100</v>
      </c>
      <c r="H331" s="465">
        <f t="shared" si="102"/>
        <v>0</v>
      </c>
      <c r="I331" s="578">
        <f t="shared" ca="1" si="99"/>
        <v>0</v>
      </c>
      <c r="J331" s="578">
        <f t="shared" ca="1" si="100"/>
        <v>0</v>
      </c>
      <c r="K331" s="449">
        <v>1100</v>
      </c>
      <c r="L331" s="433"/>
      <c r="M331" s="384"/>
      <c r="N331" s="442"/>
      <c r="O331" s="652"/>
      <c r="P331" s="433"/>
      <c r="Q331" s="433"/>
      <c r="R331" s="433"/>
      <c r="S331" s="433"/>
      <c r="T331" s="433"/>
      <c r="U331" s="433"/>
      <c r="V331" s="433"/>
      <c r="W331" s="433"/>
      <c r="X331" s="433"/>
      <c r="Y331" s="433"/>
      <c r="Z331" s="433"/>
      <c r="AA331" s="433"/>
    </row>
    <row r="332" spans="1:27" s="491" customFormat="1" ht="14.6" x14ac:dyDescent="0.4">
      <c r="A332" s="434"/>
      <c r="B332" s="438" t="str">
        <f t="shared" si="103"/>
        <v>6280-63</v>
      </c>
      <c r="C332" s="402" t="s">
        <v>420</v>
      </c>
      <c r="D332" s="499"/>
      <c r="E332" s="435"/>
      <c r="F332" s="499"/>
      <c r="G332" s="519">
        <v>2200</v>
      </c>
      <c r="H332" s="520">
        <f t="shared" si="102"/>
        <v>0</v>
      </c>
      <c r="I332" s="397">
        <f t="shared" ca="1" si="99"/>
        <v>0</v>
      </c>
      <c r="J332" s="397">
        <f t="shared" ca="1" si="100"/>
        <v>0</v>
      </c>
      <c r="K332" s="437">
        <v>2200</v>
      </c>
      <c r="L332" s="433"/>
      <c r="M332" s="384"/>
      <c r="N332" s="442"/>
      <c r="O332" s="652"/>
      <c r="P332" s="433"/>
      <c r="Q332" s="433"/>
      <c r="R332" s="433"/>
      <c r="S332" s="433"/>
      <c r="T332" s="433"/>
      <c r="U332" s="433"/>
      <c r="V332" s="433"/>
      <c r="W332" s="433"/>
      <c r="X332" s="433"/>
      <c r="Y332" s="433"/>
      <c r="Z332" s="433"/>
      <c r="AA332" s="433"/>
    </row>
    <row r="333" spans="1:27" s="491" customFormat="1" ht="14.6" x14ac:dyDescent="0.4">
      <c r="A333" s="446"/>
      <c r="B333" s="446" t="str">
        <f t="shared" si="103"/>
        <v>6280-64</v>
      </c>
      <c r="C333" s="659" t="s">
        <v>421</v>
      </c>
      <c r="D333" s="506"/>
      <c r="E333" s="448"/>
      <c r="F333" s="506"/>
      <c r="G333" s="523">
        <v>2200</v>
      </c>
      <c r="H333" s="465">
        <f t="shared" si="102"/>
        <v>0</v>
      </c>
      <c r="I333" s="578">
        <f t="shared" ca="1" si="99"/>
        <v>0</v>
      </c>
      <c r="J333" s="578">
        <f t="shared" ca="1" si="100"/>
        <v>0</v>
      </c>
      <c r="K333" s="449">
        <v>2200</v>
      </c>
      <c r="L333" s="433"/>
      <c r="M333" s="384"/>
      <c r="N333" s="442"/>
      <c r="O333" s="652"/>
      <c r="P333" s="433"/>
      <c r="Q333" s="433"/>
      <c r="R333" s="433"/>
      <c r="S333" s="433"/>
      <c r="T333" s="433"/>
      <c r="U333" s="433"/>
      <c r="V333" s="433"/>
      <c r="W333" s="433"/>
      <c r="X333" s="433"/>
      <c r="Y333" s="433"/>
      <c r="Z333" s="433"/>
      <c r="AA333" s="433"/>
    </row>
    <row r="334" spans="1:27" s="491" customFormat="1" ht="14.6" x14ac:dyDescent="0.4">
      <c r="A334" s="434"/>
      <c r="B334" s="438" t="str">
        <f t="shared" si="103"/>
        <v>6280-65</v>
      </c>
      <c r="C334" s="402" t="s">
        <v>422</v>
      </c>
      <c r="D334" s="657"/>
      <c r="E334" s="435"/>
      <c r="F334" s="499"/>
      <c r="G334" s="519">
        <v>2200</v>
      </c>
      <c r="H334" s="520">
        <f t="shared" si="102"/>
        <v>0</v>
      </c>
      <c r="I334" s="397">
        <f t="shared" ca="1" si="99"/>
        <v>0</v>
      </c>
      <c r="J334" s="397">
        <f t="shared" ca="1" si="100"/>
        <v>0</v>
      </c>
      <c r="K334" s="437">
        <v>2200</v>
      </c>
      <c r="L334" s="433"/>
      <c r="M334" s="384"/>
      <c r="N334" s="442"/>
      <c r="O334" s="618"/>
      <c r="P334" s="433"/>
      <c r="Q334" s="433"/>
      <c r="R334" s="433"/>
      <c r="S334" s="433"/>
      <c r="T334" s="433"/>
      <c r="U334" s="433"/>
      <c r="V334" s="433"/>
      <c r="W334" s="433"/>
      <c r="X334" s="433"/>
      <c r="Y334" s="433"/>
      <c r="Z334" s="433"/>
      <c r="AA334" s="433"/>
    </row>
    <row r="335" spans="1:27" s="491" customFormat="1" ht="14.6" x14ac:dyDescent="0.4">
      <c r="A335" s="446"/>
      <c r="B335" s="446" t="str">
        <f t="shared" si="103"/>
        <v>6280-66</v>
      </c>
      <c r="C335" s="710" t="s">
        <v>548</v>
      </c>
      <c r="D335" s="506"/>
      <c r="E335" s="448"/>
      <c r="F335" s="506"/>
      <c r="G335" s="523">
        <v>2200</v>
      </c>
      <c r="H335" s="465">
        <f t="shared" si="102"/>
        <v>0</v>
      </c>
      <c r="I335" s="578">
        <f t="shared" ca="1" si="99"/>
        <v>0</v>
      </c>
      <c r="J335" s="578">
        <f t="shared" ca="1" si="100"/>
        <v>0</v>
      </c>
      <c r="K335" s="449">
        <v>2200</v>
      </c>
      <c r="L335" s="433"/>
      <c r="M335" s="384"/>
      <c r="N335" s="442"/>
      <c r="O335" s="490"/>
      <c r="P335" s="433"/>
      <c r="Q335" s="433"/>
      <c r="R335" s="433"/>
      <c r="S335" s="433"/>
      <c r="T335" s="433"/>
      <c r="U335" s="433"/>
      <c r="V335" s="433"/>
      <c r="W335" s="433"/>
      <c r="X335" s="433"/>
      <c r="Y335" s="433"/>
      <c r="Z335" s="433"/>
      <c r="AA335" s="433"/>
    </row>
    <row r="336" spans="1:27" s="491" customFormat="1" ht="14.6" x14ac:dyDescent="0.4">
      <c r="A336" s="605"/>
      <c r="B336" s="438" t="str">
        <f t="shared" si="103"/>
        <v>6280-67</v>
      </c>
      <c r="C336" s="402" t="s">
        <v>423</v>
      </c>
      <c r="D336" s="445"/>
      <c r="E336" s="435"/>
      <c r="F336" s="445"/>
      <c r="G336" s="519">
        <v>2200</v>
      </c>
      <c r="H336" s="520">
        <f t="shared" si="102"/>
        <v>0</v>
      </c>
      <c r="I336" s="397">
        <f t="shared" ref="I336:I341" ca="1" si="104">-(SUMIF(INDIRECT(LEFT($A$268,4)&amp;"!E3:E200"),"="&amp;B336&amp;" *",INDIRECT(LEFT($A$268,4)&amp;"!F3:F200")))</f>
        <v>0</v>
      </c>
      <c r="J336" s="397">
        <f t="shared" ref="J336:J341" ca="1" si="105">SUM(H336:I336)</f>
        <v>0</v>
      </c>
      <c r="K336" s="401">
        <v>2200</v>
      </c>
      <c r="L336" s="489"/>
      <c r="M336" s="384"/>
      <c r="N336" s="388"/>
      <c r="O336" s="658"/>
      <c r="P336" s="489"/>
      <c r="Q336" s="489"/>
      <c r="R336" s="489"/>
      <c r="S336" s="489"/>
      <c r="T336" s="489"/>
      <c r="U336" s="489"/>
      <c r="V336" s="489"/>
      <c r="W336" s="489"/>
      <c r="X336" s="489"/>
      <c r="Y336" s="489"/>
      <c r="Z336" s="433"/>
      <c r="AA336" s="433"/>
    </row>
    <row r="337" spans="1:27" s="491" customFormat="1" ht="14.6" x14ac:dyDescent="0.4">
      <c r="A337" s="446"/>
      <c r="B337" s="446" t="str">
        <f t="shared" si="103"/>
        <v>6280-68</v>
      </c>
      <c r="C337" s="659" t="s">
        <v>424</v>
      </c>
      <c r="D337" s="506"/>
      <c r="E337" s="448"/>
      <c r="F337" s="506"/>
      <c r="G337" s="523">
        <v>2200</v>
      </c>
      <c r="H337" s="465">
        <f t="shared" si="102"/>
        <v>0</v>
      </c>
      <c r="I337" s="578">
        <f t="shared" ca="1" si="104"/>
        <v>0</v>
      </c>
      <c r="J337" s="578">
        <f t="shared" ca="1" si="105"/>
        <v>0</v>
      </c>
      <c r="K337" s="449">
        <v>2200</v>
      </c>
      <c r="L337" s="433"/>
      <c r="M337" s="384"/>
      <c r="N337" s="442"/>
      <c r="O337" s="652"/>
      <c r="P337" s="433"/>
      <c r="Q337" s="433"/>
      <c r="R337" s="433"/>
      <c r="S337" s="433"/>
      <c r="T337" s="433"/>
      <c r="U337" s="433"/>
      <c r="V337" s="433"/>
      <c r="W337" s="433"/>
      <c r="X337" s="433"/>
      <c r="Y337" s="433"/>
      <c r="Z337" s="433"/>
      <c r="AA337" s="433"/>
    </row>
    <row r="338" spans="1:27" s="491" customFormat="1" ht="14.6" x14ac:dyDescent="0.4">
      <c r="A338" s="434"/>
      <c r="B338" s="438" t="str">
        <f t="shared" si="103"/>
        <v>6280-69</v>
      </c>
      <c r="C338" s="402" t="s">
        <v>425</v>
      </c>
      <c r="D338" s="499"/>
      <c r="E338" s="435"/>
      <c r="F338" s="499"/>
      <c r="G338" s="519">
        <v>2200</v>
      </c>
      <c r="H338" s="520">
        <f t="shared" si="102"/>
        <v>0</v>
      </c>
      <c r="I338" s="397">
        <f t="shared" ca="1" si="104"/>
        <v>0</v>
      </c>
      <c r="J338" s="397">
        <f t="shared" ca="1" si="105"/>
        <v>0</v>
      </c>
      <c r="K338" s="437">
        <v>2200</v>
      </c>
      <c r="L338" s="433"/>
      <c r="M338" s="384"/>
      <c r="N338" s="442"/>
      <c r="O338" s="652"/>
      <c r="P338" s="433"/>
      <c r="Q338" s="433"/>
      <c r="R338" s="433"/>
      <c r="S338" s="433"/>
      <c r="T338" s="433"/>
      <c r="U338" s="433"/>
      <c r="V338" s="433"/>
      <c r="W338" s="433"/>
      <c r="X338" s="433"/>
      <c r="Y338" s="433"/>
      <c r="Z338" s="433"/>
      <c r="AA338" s="433"/>
    </row>
    <row r="339" spans="1:27" s="491" customFormat="1" ht="14.6" x14ac:dyDescent="0.4">
      <c r="A339" s="446"/>
      <c r="B339" s="446" t="str">
        <f t="shared" si="103"/>
        <v>6280-70</v>
      </c>
      <c r="C339" s="659" t="s">
        <v>426</v>
      </c>
      <c r="D339" s="506"/>
      <c r="E339" s="448"/>
      <c r="F339" s="506"/>
      <c r="G339" s="523">
        <v>2000</v>
      </c>
      <c r="H339" s="465">
        <f t="shared" si="102"/>
        <v>0</v>
      </c>
      <c r="I339" s="578">
        <f t="shared" ca="1" si="104"/>
        <v>0</v>
      </c>
      <c r="J339" s="578">
        <f t="shared" ca="1" si="105"/>
        <v>0</v>
      </c>
      <c r="K339" s="449">
        <v>2000</v>
      </c>
      <c r="L339" s="433"/>
      <c r="M339" s="384"/>
      <c r="N339" s="442"/>
      <c r="O339" s="652"/>
      <c r="P339" s="433"/>
      <c r="Q339" s="433"/>
      <c r="R339" s="433"/>
      <c r="S339" s="433"/>
      <c r="T339" s="433"/>
      <c r="U339" s="433"/>
      <c r="V339" s="433"/>
      <c r="W339" s="433"/>
      <c r="X339" s="433"/>
      <c r="Y339" s="433"/>
      <c r="Z339" s="433"/>
      <c r="AA339" s="433"/>
    </row>
    <row r="340" spans="1:27" s="491" customFormat="1" ht="14.6" x14ac:dyDescent="0.4">
      <c r="A340" s="434"/>
      <c r="B340" s="438" t="str">
        <f t="shared" si="103"/>
        <v>6280-71</v>
      </c>
      <c r="C340" s="402" t="s">
        <v>427</v>
      </c>
      <c r="D340" s="499"/>
      <c r="E340" s="435"/>
      <c r="F340" s="499"/>
      <c r="G340" s="519">
        <v>2000</v>
      </c>
      <c r="H340" s="520">
        <f t="shared" si="102"/>
        <v>0</v>
      </c>
      <c r="I340" s="397">
        <f t="shared" ca="1" si="104"/>
        <v>0</v>
      </c>
      <c r="J340" s="397">
        <f t="shared" ca="1" si="105"/>
        <v>0</v>
      </c>
      <c r="K340" s="437">
        <v>2000</v>
      </c>
      <c r="L340" s="433"/>
      <c r="M340" s="384"/>
      <c r="N340" s="442"/>
      <c r="O340" s="652"/>
      <c r="P340" s="433"/>
      <c r="Q340" s="433"/>
      <c r="R340" s="433"/>
      <c r="S340" s="433"/>
      <c r="T340" s="433"/>
      <c r="U340" s="433"/>
      <c r="V340" s="433"/>
      <c r="W340" s="433"/>
      <c r="X340" s="433"/>
      <c r="Y340" s="433"/>
      <c r="Z340" s="433"/>
      <c r="AA340" s="433"/>
    </row>
    <row r="341" spans="1:27" ht="14.6" x14ac:dyDescent="0.4">
      <c r="A341" s="446"/>
      <c r="B341" s="446" t="str">
        <f t="shared" si="103"/>
        <v>6280-72</v>
      </c>
      <c r="C341" s="659" t="s">
        <v>429</v>
      </c>
      <c r="D341" s="506"/>
      <c r="E341" s="448">
        <v>1</v>
      </c>
      <c r="F341" s="506"/>
      <c r="G341" s="523">
        <v>1200</v>
      </c>
      <c r="H341" s="465">
        <f>(D341+E341+F341)*G341</f>
        <v>1200</v>
      </c>
      <c r="I341" s="578">
        <f t="shared" ca="1" si="104"/>
        <v>0</v>
      </c>
      <c r="J341" s="578">
        <f t="shared" ca="1" si="105"/>
        <v>1200</v>
      </c>
      <c r="K341" s="449">
        <v>1200</v>
      </c>
      <c r="L341" s="3"/>
      <c r="M341" s="345"/>
      <c r="N341" s="137"/>
      <c r="O341" s="346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4.6" x14ac:dyDescent="0.4">
      <c r="A342" s="269"/>
      <c r="B342" s="438"/>
      <c r="C342" s="217" t="s">
        <v>71</v>
      </c>
      <c r="D342" s="218"/>
      <c r="E342" s="218"/>
      <c r="F342" s="49" t="s">
        <v>49</v>
      </c>
      <c r="G342" s="424">
        <f>SUM('3% Overview'!K24)</f>
        <v>-1.167883211678832E-2</v>
      </c>
      <c r="H342" s="377">
        <f>SUM(H269:H341)</f>
        <v>270731</v>
      </c>
      <c r="I342" s="377">
        <f t="shared" ref="I342:J342" ca="1" si="106">SUM(I269:I341)</f>
        <v>-218614.72</v>
      </c>
      <c r="J342" s="377">
        <f t="shared" ca="1" si="106"/>
        <v>52116.28</v>
      </c>
      <c r="K342" s="288">
        <f>SUM(K269:L341)</f>
        <v>277907.20000000001</v>
      </c>
      <c r="L342" s="3"/>
      <c r="M342" s="3"/>
      <c r="N342" s="3"/>
      <c r="O342" s="82"/>
    </row>
    <row r="343" spans="1:27" ht="19.5" customHeight="1" thickTop="1" x14ac:dyDescent="0.5">
      <c r="A343" s="897" t="s">
        <v>430</v>
      </c>
      <c r="B343" s="900"/>
      <c r="C343" s="898"/>
      <c r="D343" s="898"/>
      <c r="E343" s="898"/>
      <c r="F343" s="898"/>
      <c r="G343" s="898"/>
      <c r="H343" s="898"/>
      <c r="I343" s="898" t="e">
        <f t="shared" ref="I343" ca="1" si="107">-(SUMIF(INDIRECT(LEFT($A$289,4)&amp;"!E3:E200"),"="&amp;B343&amp;" *",INDIRECT(LEFT($A$289,4)&amp;"!F3:F200")))</f>
        <v>#REF!</v>
      </c>
      <c r="J343" s="898" t="e">
        <f t="shared" ref="J343:J345" ca="1" si="108">SUM(H343:I343)</f>
        <v>#REF!</v>
      </c>
      <c r="K343" s="899"/>
      <c r="L343" s="3"/>
      <c r="M343" s="3"/>
      <c r="N343" s="3"/>
      <c r="O343" s="82"/>
    </row>
    <row r="344" spans="1:27" ht="14.6" x14ac:dyDescent="0.4">
      <c r="A344" s="438"/>
      <c r="B344" s="438" t="str">
        <f>LEFT($A343,4)&amp;"-1"</f>
        <v>6285-1</v>
      </c>
      <c r="C344" s="391" t="s">
        <v>439</v>
      </c>
      <c r="D344" s="526"/>
      <c r="E344" s="435">
        <v>6</v>
      </c>
      <c r="F344" s="526"/>
      <c r="G344" s="388">
        <v>179.88</v>
      </c>
      <c r="H344" s="389">
        <f>(D344+E344+F344)*G344</f>
        <v>1079.28</v>
      </c>
      <c r="I344" s="390">
        <f ca="1">-(SUMIF(INDIRECT(LEFT($A$343,4)&amp;"!E3:E200"),"="&amp;B344&amp;" *",INDIRECT(LEFT($A$343,4)&amp;"!F3:F200")))</f>
        <v>-1371.04</v>
      </c>
      <c r="J344" s="390">
        <f t="shared" ca="1" si="108"/>
        <v>-291.76</v>
      </c>
      <c r="K344" s="442"/>
      <c r="L344" s="225"/>
      <c r="M344" s="247"/>
      <c r="N344" s="137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4.6" x14ac:dyDescent="0.4">
      <c r="A345" s="527" t="s">
        <v>232</v>
      </c>
      <c r="B345" s="785" t="str">
        <f t="shared" ref="B345:B354" si="109">LEFT($B344,4)&amp;"-"&amp;VALUE(MID($B344,FIND("-",$B344)+1,256))+1</f>
        <v>6285-2</v>
      </c>
      <c r="C345" s="509" t="s">
        <v>445</v>
      </c>
      <c r="D345" s="506"/>
      <c r="E345" s="448">
        <v>12</v>
      </c>
      <c r="F345" s="506"/>
      <c r="G345" s="421">
        <v>200</v>
      </c>
      <c r="H345" s="382">
        <f>(D345+E345+F345)*G345</f>
        <v>2400</v>
      </c>
      <c r="I345" s="417">
        <f ca="1">-(SUMIF(INDIRECT(LEFT($A$343,4)&amp;"!E3:E200"),"="&amp;B345&amp;" *",INDIRECT(LEFT($A$343,4)&amp;"!F3:F200")))</f>
        <v>-2400</v>
      </c>
      <c r="J345" s="417">
        <f t="shared" ca="1" si="108"/>
        <v>0</v>
      </c>
      <c r="K345" s="449"/>
      <c r="L345" s="3"/>
      <c r="M345" s="345"/>
      <c r="N345" s="137"/>
      <c r="O345" s="82"/>
    </row>
    <row r="346" spans="1:27" ht="14.6" x14ac:dyDescent="0.4">
      <c r="A346" s="278"/>
      <c r="B346" s="438" t="str">
        <f t="shared" si="109"/>
        <v>6285-3</v>
      </c>
      <c r="C346" s="227" t="s">
        <v>431</v>
      </c>
      <c r="D346" s="287"/>
      <c r="E346" s="126">
        <v>3</v>
      </c>
      <c r="F346" s="287"/>
      <c r="G346" s="102">
        <v>500</v>
      </c>
      <c r="H346" s="376">
        <f t="shared" ref="H346:H355" si="110">(D346+E346+F346)*G346</f>
        <v>1500</v>
      </c>
      <c r="I346" s="390">
        <f t="shared" ref="I346:I362" ca="1" si="111">-(SUMIF(INDIRECT(LEFT($A$343,4)&amp;"!E3:E200"),"="&amp;B346&amp;" *",INDIRECT(LEFT($A$343,4)&amp;"!F3:F200")))</f>
        <v>0</v>
      </c>
      <c r="J346" s="390">
        <f t="shared" ref="J346:J362" ca="1" si="112">SUM(H346:I346)</f>
        <v>1500</v>
      </c>
      <c r="K346" s="137">
        <v>2000</v>
      </c>
      <c r="L346" s="3"/>
      <c r="M346" s="267"/>
      <c r="N346" s="137"/>
      <c r="O346" s="29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s="491" customFormat="1" ht="14.6" x14ac:dyDescent="0.4">
      <c r="A347" s="451"/>
      <c r="B347" s="446" t="str">
        <f t="shared" si="109"/>
        <v>6285-4</v>
      </c>
      <c r="C347" s="458" t="s">
        <v>432</v>
      </c>
      <c r="D347" s="459"/>
      <c r="E347" s="453"/>
      <c r="F347" s="459">
        <v>1</v>
      </c>
      <c r="G347" s="454">
        <v>15000</v>
      </c>
      <c r="H347" s="379">
        <f t="shared" si="110"/>
        <v>15000</v>
      </c>
      <c r="I347" s="417">
        <f t="shared" ca="1" si="111"/>
        <v>-12457.650000000001</v>
      </c>
      <c r="J347" s="417">
        <f t="shared" ca="1" si="112"/>
        <v>2542.3499999999985</v>
      </c>
      <c r="K347" s="455">
        <v>15000</v>
      </c>
      <c r="L347" s="433"/>
      <c r="M347" s="433"/>
      <c r="N347" s="442"/>
      <c r="O347" s="490"/>
      <c r="P347" s="433"/>
      <c r="Q347" s="433"/>
      <c r="R347" s="433"/>
      <c r="S347" s="433"/>
      <c r="T347" s="433"/>
      <c r="U347" s="433"/>
      <c r="V347" s="433"/>
      <c r="W347" s="433"/>
      <c r="X347" s="433"/>
      <c r="Y347" s="433"/>
      <c r="Z347" s="433"/>
      <c r="AA347" s="433"/>
    </row>
    <row r="348" spans="1:27" s="491" customFormat="1" ht="33" x14ac:dyDescent="0.4">
      <c r="A348" s="570" t="s">
        <v>508</v>
      </c>
      <c r="B348" s="438" t="str">
        <f t="shared" si="109"/>
        <v>6285-5</v>
      </c>
      <c r="C348" s="391" t="s">
        <v>444</v>
      </c>
      <c r="D348" s="528"/>
      <c r="E348" s="529">
        <v>12</v>
      </c>
      <c r="F348" s="530"/>
      <c r="G348" s="388">
        <v>3350</v>
      </c>
      <c r="H348" s="389">
        <f>(D348+E348+F348)*G348</f>
        <v>40200</v>
      </c>
      <c r="I348" s="390">
        <f t="shared" ca="1" si="111"/>
        <v>-46337.460000000006</v>
      </c>
      <c r="J348" s="390">
        <f t="shared" ca="1" si="112"/>
        <v>-6137.4600000000064</v>
      </c>
      <c r="K348" s="531">
        <v>0</v>
      </c>
      <c r="L348" s="433"/>
      <c r="M348" s="433"/>
      <c r="N348" s="442"/>
      <c r="O348" s="490"/>
      <c r="P348" s="532"/>
      <c r="Q348" s="532"/>
      <c r="R348" s="532"/>
      <c r="S348" s="532"/>
      <c r="T348" s="532"/>
      <c r="U348" s="532"/>
      <c r="V348" s="532"/>
      <c r="W348" s="532"/>
      <c r="X348" s="532"/>
      <c r="Y348" s="532"/>
      <c r="Z348" s="532"/>
      <c r="AA348" s="532"/>
    </row>
    <row r="349" spans="1:27" ht="14.6" x14ac:dyDescent="0.4">
      <c r="A349" s="321"/>
      <c r="B349" s="446" t="str">
        <f t="shared" si="109"/>
        <v>6285-6</v>
      </c>
      <c r="C349" s="347" t="s">
        <v>446</v>
      </c>
      <c r="D349" s="322"/>
      <c r="E349" s="323">
        <v>1</v>
      </c>
      <c r="F349" s="322"/>
      <c r="G349" s="324">
        <v>50</v>
      </c>
      <c r="H349" s="481">
        <f t="shared" ref="H349" si="113">(D349+E349+F349)*G349</f>
        <v>50</v>
      </c>
      <c r="I349" s="417">
        <f t="shared" ca="1" si="111"/>
        <v>0</v>
      </c>
      <c r="J349" s="417">
        <f t="shared" ca="1" si="112"/>
        <v>50</v>
      </c>
      <c r="K349" s="350"/>
      <c r="L349" s="3"/>
      <c r="M349" s="345"/>
      <c r="N349" s="137"/>
      <c r="O349" s="82"/>
    </row>
    <row r="350" spans="1:27" ht="14.6" x14ac:dyDescent="0.4">
      <c r="A350" s="278"/>
      <c r="B350" s="438" t="str">
        <f t="shared" si="109"/>
        <v>6285-7</v>
      </c>
      <c r="C350" s="317" t="s">
        <v>433</v>
      </c>
      <c r="D350" s="348"/>
      <c r="E350" s="348"/>
      <c r="F350" s="349"/>
      <c r="G350" s="517">
        <v>1600</v>
      </c>
      <c r="H350" s="429">
        <f t="shared" si="110"/>
        <v>0</v>
      </c>
      <c r="I350" s="390">
        <f t="shared" ca="1" si="111"/>
        <v>0</v>
      </c>
      <c r="J350" s="390">
        <f t="shared" ca="1" si="112"/>
        <v>0</v>
      </c>
      <c r="K350" s="137">
        <v>1600</v>
      </c>
      <c r="L350" s="3"/>
      <c r="M350" s="267"/>
      <c r="N350" s="137"/>
      <c r="O350" s="82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4.6" x14ac:dyDescent="0.4">
      <c r="A351" s="273"/>
      <c r="B351" s="785" t="str">
        <f t="shared" si="109"/>
        <v>6285-8</v>
      </c>
      <c r="C351" s="343" t="s">
        <v>434</v>
      </c>
      <c r="D351" s="286"/>
      <c r="E351" s="155"/>
      <c r="F351" s="286"/>
      <c r="G351" s="516">
        <v>3600</v>
      </c>
      <c r="H351" s="381">
        <f t="shared" si="110"/>
        <v>0</v>
      </c>
      <c r="I351" s="417">
        <f t="shared" ca="1" si="111"/>
        <v>0</v>
      </c>
      <c r="J351" s="417">
        <f t="shared" ca="1" si="112"/>
        <v>0</v>
      </c>
      <c r="K351" s="185">
        <v>3600</v>
      </c>
      <c r="L351" s="3"/>
      <c r="M351" s="267"/>
      <c r="N351" s="137"/>
      <c r="O351" s="29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4.6" x14ac:dyDescent="0.4">
      <c r="A352" s="278"/>
      <c r="B352" s="832" t="str">
        <f t="shared" si="109"/>
        <v>6285-9</v>
      </c>
      <c r="C352" s="269" t="s">
        <v>435</v>
      </c>
      <c r="D352" s="287"/>
      <c r="E352" s="126">
        <v>1</v>
      </c>
      <c r="F352" s="287"/>
      <c r="G352" s="88">
        <v>1000</v>
      </c>
      <c r="H352" s="376">
        <f t="shared" si="110"/>
        <v>1000</v>
      </c>
      <c r="I352" s="390">
        <f t="shared" ca="1" si="111"/>
        <v>-3414.53</v>
      </c>
      <c r="J352" s="390">
        <f t="shared" ca="1" si="112"/>
        <v>-2414.5300000000002</v>
      </c>
      <c r="K352" s="137">
        <v>1000</v>
      </c>
      <c r="L352" s="3"/>
      <c r="M352" s="17"/>
      <c r="N352" s="137"/>
      <c r="O352" s="82"/>
    </row>
    <row r="353" spans="1:27" ht="14.6" x14ac:dyDescent="0.4">
      <c r="A353" s="273"/>
      <c r="B353" s="446" t="str">
        <f t="shared" si="109"/>
        <v>6285-10</v>
      </c>
      <c r="C353" s="344" t="s">
        <v>436</v>
      </c>
      <c r="D353" s="300"/>
      <c r="E353" s="129">
        <v>1</v>
      </c>
      <c r="F353" s="300"/>
      <c r="G353" s="116">
        <v>4000</v>
      </c>
      <c r="H353" s="380">
        <f t="shared" si="110"/>
        <v>4000</v>
      </c>
      <c r="I353" s="417">
        <f t="shared" ca="1" si="111"/>
        <v>-10427.239999999998</v>
      </c>
      <c r="J353" s="417">
        <f t="shared" ca="1" si="112"/>
        <v>-6427.239999999998</v>
      </c>
      <c r="K353" s="185">
        <v>4000</v>
      </c>
      <c r="L353" s="3"/>
      <c r="M353" s="267"/>
      <c r="N353" s="137"/>
      <c r="O353" s="82"/>
    </row>
    <row r="354" spans="1:27" s="491" customFormat="1" ht="14.6" x14ac:dyDescent="0.4">
      <c r="A354" s="434"/>
      <c r="B354" s="832" t="str">
        <f t="shared" si="109"/>
        <v>6285-11</v>
      </c>
      <c r="C354" s="535" t="s">
        <v>387</v>
      </c>
      <c r="D354" s="499"/>
      <c r="E354" s="435">
        <v>1</v>
      </c>
      <c r="F354" s="499"/>
      <c r="G354" s="401">
        <v>2000</v>
      </c>
      <c r="H354" s="378">
        <f t="shared" si="110"/>
        <v>2000</v>
      </c>
      <c r="I354" s="390">
        <f t="shared" ca="1" si="111"/>
        <v>0</v>
      </c>
      <c r="J354" s="390">
        <f t="shared" ca="1" si="112"/>
        <v>2000</v>
      </c>
      <c r="K354" s="437">
        <v>2000</v>
      </c>
      <c r="L354" s="433"/>
      <c r="M354" s="489"/>
      <c r="N354" s="442"/>
      <c r="O354" s="490"/>
      <c r="P354" s="433"/>
      <c r="Q354" s="433"/>
      <c r="R354" s="433"/>
      <c r="S354" s="433"/>
      <c r="T354" s="433"/>
      <c r="U354" s="433"/>
      <c r="V354" s="433"/>
      <c r="W354" s="433"/>
      <c r="X354" s="433"/>
      <c r="Y354" s="433"/>
    </row>
    <row r="355" spans="1:27" s="491" customFormat="1" ht="14.6" x14ac:dyDescent="0.4">
      <c r="A355" s="511" t="s">
        <v>541</v>
      </c>
      <c r="B355" s="785" t="str">
        <f t="shared" ref="B355:B362" si="114">LEFT($B354,4)&amp;"-"&amp;VALUE(MID($B354,FIND("-",$B354)+1,256))+1</f>
        <v>6285-12</v>
      </c>
      <c r="C355" s="648" t="s">
        <v>437</v>
      </c>
      <c r="D355" s="506"/>
      <c r="E355" s="448">
        <v>12</v>
      </c>
      <c r="F355" s="506"/>
      <c r="G355" s="421">
        <v>1300</v>
      </c>
      <c r="H355" s="379">
        <f t="shared" si="110"/>
        <v>15600</v>
      </c>
      <c r="I355" s="417">
        <f t="shared" ca="1" si="111"/>
        <v>-15999.99</v>
      </c>
      <c r="J355" s="417">
        <f t="shared" ca="1" si="112"/>
        <v>-399.98999999999978</v>
      </c>
      <c r="K355" s="449">
        <v>333.35</v>
      </c>
      <c r="L355" s="433"/>
      <c r="M355" s="617"/>
      <c r="N355" s="442"/>
      <c r="O355" s="490"/>
      <c r="P355" s="433"/>
      <c r="Q355" s="433"/>
      <c r="R355" s="433"/>
      <c r="S355" s="433"/>
      <c r="T355" s="433"/>
      <c r="U355" s="433"/>
      <c r="V355" s="433"/>
      <c r="W355" s="433"/>
      <c r="X355" s="433"/>
      <c r="Y355" s="433"/>
      <c r="Z355" s="433"/>
      <c r="AA355" s="433"/>
    </row>
    <row r="356" spans="1:27" s="491" customFormat="1" ht="14.6" x14ac:dyDescent="0.4">
      <c r="A356" s="383" t="s">
        <v>442</v>
      </c>
      <c r="B356" s="438" t="str">
        <f t="shared" si="114"/>
        <v>6285-13</v>
      </c>
      <c r="C356" s="391" t="s">
        <v>443</v>
      </c>
      <c r="D356" s="528"/>
      <c r="E356" s="529">
        <v>1</v>
      </c>
      <c r="F356" s="530"/>
      <c r="G356" s="388">
        <v>100</v>
      </c>
      <c r="H356" s="389">
        <f>(D356+E356+F356)*G356</f>
        <v>100</v>
      </c>
      <c r="I356" s="390">
        <f t="shared" ca="1" si="111"/>
        <v>-199.95</v>
      </c>
      <c r="J356" s="390">
        <f t="shared" ca="1" si="112"/>
        <v>-99.949999999999989</v>
      </c>
      <c r="K356" s="531"/>
      <c r="L356" s="433"/>
      <c r="N356" s="442"/>
      <c r="O356" s="490"/>
    </row>
    <row r="357" spans="1:27" s="491" customFormat="1" ht="14.6" x14ac:dyDescent="0.4">
      <c r="A357" s="571" t="s">
        <v>505</v>
      </c>
      <c r="B357" s="840" t="str">
        <f t="shared" si="114"/>
        <v>6285-14</v>
      </c>
      <c r="C357" s="505" t="s">
        <v>504</v>
      </c>
      <c r="D357" s="506"/>
      <c r="E357" s="448">
        <v>12</v>
      </c>
      <c r="F357" s="506"/>
      <c r="G357" s="421">
        <v>310</v>
      </c>
      <c r="H357" s="379">
        <f>(D357+E357+F357)*G357</f>
        <v>3720</v>
      </c>
      <c r="I357" s="417">
        <f t="shared" ca="1" si="111"/>
        <v>-4088.49</v>
      </c>
      <c r="J357" s="417">
        <f t="shared" ca="1" si="112"/>
        <v>-368.48999999999978</v>
      </c>
      <c r="K357" s="449"/>
      <c r="L357" s="433"/>
      <c r="M357" s="384"/>
      <c r="N357" s="442"/>
      <c r="O357" s="490"/>
    </row>
    <row r="358" spans="1:27" s="491" customFormat="1" ht="14.6" x14ac:dyDescent="0.4">
      <c r="A358" s="434"/>
      <c r="B358" s="438" t="str">
        <f t="shared" si="114"/>
        <v>6285-15</v>
      </c>
      <c r="C358" s="535" t="s">
        <v>438</v>
      </c>
      <c r="D358" s="499"/>
      <c r="E358" s="435">
        <v>1</v>
      </c>
      <c r="F358" s="499"/>
      <c r="G358" s="401">
        <v>4500</v>
      </c>
      <c r="H358" s="378">
        <f t="shared" ref="H358:H359" si="115">(D358+E358+F358)*G358</f>
        <v>4500</v>
      </c>
      <c r="I358" s="390">
        <f t="shared" ca="1" si="111"/>
        <v>-4464.72</v>
      </c>
      <c r="J358" s="390">
        <f t="shared" ca="1" si="112"/>
        <v>35.279999999999745</v>
      </c>
      <c r="K358" s="437">
        <v>4500</v>
      </c>
      <c r="L358" s="433"/>
      <c r="N358" s="442"/>
      <c r="O358" s="536"/>
      <c r="P358" s="433"/>
      <c r="Q358" s="433"/>
      <c r="R358" s="433"/>
      <c r="S358" s="433"/>
      <c r="T358" s="433"/>
      <c r="U358" s="433"/>
      <c r="V358" s="433"/>
      <c r="W358" s="433"/>
      <c r="X358" s="433"/>
      <c r="Y358" s="433"/>
    </row>
    <row r="359" spans="1:27" s="491" customFormat="1" ht="14.6" x14ac:dyDescent="0.4">
      <c r="A359" s="661" t="s">
        <v>473</v>
      </c>
      <c r="B359" s="785" t="str">
        <f t="shared" si="114"/>
        <v>6285-16</v>
      </c>
      <c r="C359" s="709" t="s">
        <v>547</v>
      </c>
      <c r="D359" s="515"/>
      <c r="E359" s="456"/>
      <c r="F359" s="515"/>
      <c r="G359" s="525">
        <v>5430</v>
      </c>
      <c r="H359" s="465">
        <f t="shared" si="115"/>
        <v>0</v>
      </c>
      <c r="I359" s="417">
        <f t="shared" ca="1" si="111"/>
        <v>0</v>
      </c>
      <c r="J359" s="417">
        <f t="shared" ca="1" si="112"/>
        <v>0</v>
      </c>
      <c r="K359" s="455">
        <v>5430</v>
      </c>
      <c r="L359" s="433"/>
      <c r="N359" s="442"/>
      <c r="O359" s="490"/>
      <c r="P359" s="433"/>
      <c r="Q359" s="433"/>
      <c r="R359" s="433"/>
      <c r="S359" s="433"/>
      <c r="T359" s="433"/>
      <c r="U359" s="433"/>
      <c r="V359" s="433"/>
      <c r="W359" s="433"/>
      <c r="X359" s="433"/>
      <c r="Y359" s="433"/>
    </row>
    <row r="360" spans="1:27" s="491" customFormat="1" ht="14.6" x14ac:dyDescent="0.4">
      <c r="A360" s="660" t="s">
        <v>506</v>
      </c>
      <c r="B360" s="438" t="str">
        <f t="shared" si="114"/>
        <v>6285-17</v>
      </c>
      <c r="C360" s="635" t="s">
        <v>507</v>
      </c>
      <c r="D360" s="564"/>
      <c r="E360" s="441">
        <v>1</v>
      </c>
      <c r="F360" s="564"/>
      <c r="G360" s="388">
        <v>2872</v>
      </c>
      <c r="H360" s="378">
        <f>(D360+E360+F360)*G360</f>
        <v>2872</v>
      </c>
      <c r="I360" s="390">
        <f t="shared" ca="1" si="111"/>
        <v>-854</v>
      </c>
      <c r="J360" s="390">
        <f t="shared" ca="1" si="112"/>
        <v>2018</v>
      </c>
      <c r="K360" s="442"/>
      <c r="L360" s="433"/>
      <c r="M360" s="384"/>
      <c r="N360" s="442"/>
      <c r="O360" s="490"/>
    </row>
    <row r="361" spans="1:27" ht="14.6" x14ac:dyDescent="0.4">
      <c r="A361" s="446"/>
      <c r="B361" s="446" t="str">
        <f t="shared" si="114"/>
        <v>6285-18</v>
      </c>
      <c r="C361" s="413" t="s">
        <v>440</v>
      </c>
      <c r="D361" s="662"/>
      <c r="E361" s="473">
        <v>12</v>
      </c>
      <c r="F361" s="662"/>
      <c r="G361" s="421">
        <v>160</v>
      </c>
      <c r="H361" s="382">
        <f>(D361+E361+F361)*G361</f>
        <v>1920</v>
      </c>
      <c r="I361" s="417">
        <f t="shared" ca="1" si="111"/>
        <v>-2609.5500000000002</v>
      </c>
      <c r="J361" s="417">
        <f t="shared" ca="1" si="112"/>
        <v>-689.55000000000018</v>
      </c>
      <c r="K361" s="449">
        <v>1920</v>
      </c>
      <c r="L361" s="225"/>
      <c r="M361" s="17"/>
      <c r="N361" s="137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s="491" customFormat="1" ht="14.6" x14ac:dyDescent="0.4">
      <c r="A362" s="570" t="s">
        <v>505</v>
      </c>
      <c r="B362" s="832" t="str">
        <f t="shared" si="114"/>
        <v>6285-19</v>
      </c>
      <c r="C362" s="391" t="s">
        <v>441</v>
      </c>
      <c r="D362" s="528"/>
      <c r="E362" s="529">
        <v>4</v>
      </c>
      <c r="F362" s="530"/>
      <c r="G362" s="388">
        <v>100</v>
      </c>
      <c r="H362" s="389">
        <f t="shared" ref="H362" si="116">(D362+E362+F362)*G362</f>
        <v>400</v>
      </c>
      <c r="I362" s="390">
        <f t="shared" ca="1" si="111"/>
        <v>0</v>
      </c>
      <c r="J362" s="390">
        <f t="shared" ca="1" si="112"/>
        <v>400</v>
      </c>
      <c r="K362" s="531">
        <v>0</v>
      </c>
      <c r="L362" s="433"/>
      <c r="M362" s="433"/>
      <c r="N362" s="442"/>
      <c r="O362" s="490"/>
    </row>
    <row r="363" spans="1:27" thickBot="1" x14ac:dyDescent="0.45">
      <c r="A363" s="83"/>
      <c r="B363" s="269"/>
      <c r="C363" s="217" t="s">
        <v>71</v>
      </c>
      <c r="D363" s="218"/>
      <c r="E363" s="218"/>
      <c r="F363" s="49" t="s">
        <v>49</v>
      </c>
      <c r="G363" s="424">
        <f>SUM('3% Overview'!K25)</f>
        <v>0.55987055016181231</v>
      </c>
      <c r="H363" s="377">
        <f>SUM(H344:H362)</f>
        <v>96341.28</v>
      </c>
      <c r="I363" s="377">
        <f ca="1">SUM(I344:I362)</f>
        <v>-104624.62000000002</v>
      </c>
      <c r="J363" s="377">
        <f ca="1">SUM(J344:J362)</f>
        <v>-8283.3400000000074</v>
      </c>
      <c r="K363" s="288">
        <f>SUM(K346:K359)</f>
        <v>39463.35</v>
      </c>
      <c r="L363" s="3"/>
      <c r="M363" s="3"/>
      <c r="N363" s="137"/>
      <c r="O363" s="82"/>
    </row>
    <row r="364" spans="1:27" ht="17.25" customHeight="1" x14ac:dyDescent="0.4">
      <c r="A364" s="83"/>
      <c r="B364" s="215"/>
      <c r="C364" s="217"/>
      <c r="D364" s="218"/>
      <c r="E364" s="218"/>
      <c r="F364" s="49"/>
      <c r="G364" s="572"/>
      <c r="H364" s="432"/>
      <c r="I364" s="256"/>
      <c r="J364" s="256"/>
      <c r="K364" s="573">
        <f>'3% Overview'!I25</f>
        <v>61800</v>
      </c>
      <c r="L364" s="3"/>
      <c r="M364" s="3"/>
      <c r="N364" s="137"/>
      <c r="O364" s="82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9.5" customHeight="1" x14ac:dyDescent="0.5">
      <c r="A365" s="897" t="s">
        <v>447</v>
      </c>
      <c r="B365" s="900"/>
      <c r="C365" s="898"/>
      <c r="D365" s="898"/>
      <c r="E365" s="898"/>
      <c r="F365" s="898"/>
      <c r="G365" s="898"/>
      <c r="H365" s="898"/>
      <c r="I365" s="898" t="e">
        <f ca="1">-(SUMIF(INDIRECT(LEFT($A$364,4)&amp;"!E3:E200"),"="&amp;B365&amp;" *",INDIRECT(LEFT($A$364,4)&amp;"!F3:F200")))</f>
        <v>#REF!</v>
      </c>
      <c r="J365" s="898" t="e">
        <f ca="1">SUM(H365:I365)</f>
        <v>#REF!</v>
      </c>
      <c r="K365" s="899"/>
      <c r="L365" s="3"/>
      <c r="M365" s="3"/>
      <c r="N365" s="3"/>
      <c r="O365" s="82"/>
    </row>
    <row r="366" spans="1:27" ht="14.6" x14ac:dyDescent="0.4">
      <c r="A366" s="278" t="s">
        <v>448</v>
      </c>
      <c r="B366" s="830" t="str">
        <f>LEFT($A365,4)&amp;"-1"</f>
        <v>6290-1</v>
      </c>
      <c r="C366" s="151" t="s">
        <v>449</v>
      </c>
      <c r="D366" s="287"/>
      <c r="E366" s="133"/>
      <c r="F366" s="287">
        <v>1</v>
      </c>
      <c r="G366" s="88">
        <f>65*105%</f>
        <v>68.25</v>
      </c>
      <c r="H366" s="376">
        <f t="shared" ref="H366:H370" si="117">SUM((D366+E366+F366)*G366)</f>
        <v>68.25</v>
      </c>
      <c r="I366" s="90">
        <f ca="1">-(SUMIF(INDIRECT(LEFT($A$365,4)&amp;"!E3:E200"),"="&amp;B366&amp;" *",INDIRECT(LEFT($A$365,4)&amp;"!F3:F200")))</f>
        <v>-63.7</v>
      </c>
      <c r="J366" s="90">
        <f t="shared" ref="J366:J378" ca="1" si="118">SUM(H366:I366)</f>
        <v>4.5499999999999972</v>
      </c>
      <c r="K366" s="90">
        <v>65.100000000000009</v>
      </c>
      <c r="L366" s="3"/>
      <c r="M366" s="3"/>
      <c r="N366" s="137"/>
      <c r="O366" s="82"/>
    </row>
    <row r="367" spans="1:27" ht="14.6" x14ac:dyDescent="0.4">
      <c r="A367" s="273" t="s">
        <v>448</v>
      </c>
      <c r="B367" s="446" t="str">
        <f t="shared" ref="B367:B370" si="119">LEFT($B366,4)&amp;"-"&amp;VALUE(MID($B366,FIND("-",$B366)+1,256))+1</f>
        <v>6290-2</v>
      </c>
      <c r="C367" s="212" t="s">
        <v>450</v>
      </c>
      <c r="D367" s="300"/>
      <c r="E367" s="283"/>
      <c r="F367" s="300">
        <v>1</v>
      </c>
      <c r="G367" s="116">
        <f>600*105%</f>
        <v>630</v>
      </c>
      <c r="H367" s="380">
        <f t="shared" si="117"/>
        <v>630</v>
      </c>
      <c r="I367" s="113">
        <f ca="1">-(SUMIF(INDIRECT(LEFT($A$365,4)&amp;"!E3:E200"),"="&amp;B367&amp;" *",INDIRECT(LEFT($A$365,4)&amp;"!F3:F200")))</f>
        <v>-588</v>
      </c>
      <c r="J367" s="113">
        <f t="shared" ca="1" si="118"/>
        <v>42</v>
      </c>
      <c r="K367" s="113">
        <v>568.05000000000007</v>
      </c>
      <c r="L367" s="3"/>
      <c r="M367" s="3"/>
      <c r="N367" s="137"/>
      <c r="O367" s="82"/>
    </row>
    <row r="368" spans="1:27" ht="14.6" x14ac:dyDescent="0.4">
      <c r="A368" s="278" t="s">
        <v>448</v>
      </c>
      <c r="B368" s="832" t="str">
        <f t="shared" si="119"/>
        <v>6290-3</v>
      </c>
      <c r="C368" s="160" t="s">
        <v>451</v>
      </c>
      <c r="D368" s="291"/>
      <c r="E368" s="276"/>
      <c r="F368" s="291">
        <v>1</v>
      </c>
      <c r="G368" s="88">
        <f>6734*105%</f>
        <v>7070.7000000000007</v>
      </c>
      <c r="H368" s="376">
        <f t="shared" si="117"/>
        <v>7070.7000000000007</v>
      </c>
      <c r="I368" s="90">
        <f t="shared" ref="I368:I370" ca="1" si="120">-(SUMIF(INDIRECT(LEFT($A$365,4)&amp;"!E3:E200"),"="&amp;B368&amp;" *",INDIRECT(LEFT($A$365,4)&amp;"!F3:F200")))</f>
        <v>-5931.94</v>
      </c>
      <c r="J368" s="90">
        <f t="shared" ref="J368:J370" ca="1" si="121">SUM(H368:I368)</f>
        <v>1138.7600000000011</v>
      </c>
      <c r="K368" s="90">
        <v>6879.6</v>
      </c>
      <c r="L368" s="3"/>
      <c r="M368" s="3"/>
      <c r="N368" s="137"/>
      <c r="O368" s="82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7" ht="14.6" x14ac:dyDescent="0.4">
      <c r="A369" s="273" t="s">
        <v>448</v>
      </c>
      <c r="B369" s="785" t="str">
        <f t="shared" si="119"/>
        <v>6290-4</v>
      </c>
      <c r="C369" s="142" t="s">
        <v>452</v>
      </c>
      <c r="D369" s="286"/>
      <c r="E369" s="155"/>
      <c r="F369" s="286">
        <v>1</v>
      </c>
      <c r="G369" s="116">
        <f>3649*105%</f>
        <v>3831.4500000000003</v>
      </c>
      <c r="H369" s="380">
        <f t="shared" si="117"/>
        <v>3831.4500000000003</v>
      </c>
      <c r="I369" s="113">
        <f t="shared" ca="1" si="120"/>
        <v>-2717.54</v>
      </c>
      <c r="J369" s="113">
        <f t="shared" ca="1" si="121"/>
        <v>1113.9100000000003</v>
      </c>
      <c r="K369" s="113">
        <v>3224.55</v>
      </c>
      <c r="L369" s="3"/>
      <c r="M369" s="3"/>
      <c r="N369" s="137"/>
      <c r="O369" s="82"/>
    </row>
    <row r="370" spans="1:27" ht="14.6" x14ac:dyDescent="0.4">
      <c r="A370" s="278" t="s">
        <v>448</v>
      </c>
      <c r="B370" s="837" t="str">
        <f t="shared" si="119"/>
        <v>6290-5</v>
      </c>
      <c r="C370" s="151" t="s">
        <v>453</v>
      </c>
      <c r="D370" s="287"/>
      <c r="E370" s="133"/>
      <c r="F370" s="287">
        <v>1</v>
      </c>
      <c r="G370" s="88">
        <f>5583*105%</f>
        <v>5862.1500000000005</v>
      </c>
      <c r="H370" s="376">
        <f t="shared" si="117"/>
        <v>5862.1500000000005</v>
      </c>
      <c r="I370" s="90">
        <f t="shared" ca="1" si="120"/>
        <v>-7272.58</v>
      </c>
      <c r="J370" s="90">
        <f t="shared" ca="1" si="121"/>
        <v>-1410.4299999999994</v>
      </c>
      <c r="K370" s="90">
        <v>4384.8</v>
      </c>
      <c r="L370" s="3"/>
      <c r="M370" s="3"/>
      <c r="N370" s="137"/>
      <c r="O370" s="82"/>
    </row>
    <row r="371" spans="1:27" ht="14.6" x14ac:dyDescent="0.4">
      <c r="A371" s="748" t="s">
        <v>559</v>
      </c>
      <c r="B371" s="438"/>
      <c r="C371" s="217" t="s">
        <v>71</v>
      </c>
      <c r="D371" s="218"/>
      <c r="E371" s="218"/>
      <c r="F371" s="49" t="s">
        <v>49</v>
      </c>
      <c r="G371" s="424">
        <f>SUM('3% Overview'!K26)</f>
        <v>0.15131578947368421</v>
      </c>
      <c r="H371" s="377">
        <f>SUM(H366:H370)</f>
        <v>17462.550000000003</v>
      </c>
      <c r="I371" s="377">
        <f t="shared" ref="I371:J371" ca="1" si="122">SUM(I366:I370)</f>
        <v>-16573.760000000002</v>
      </c>
      <c r="J371" s="377">
        <f t="shared" ca="1" si="122"/>
        <v>888.79000000000178</v>
      </c>
      <c r="K371" s="141">
        <f>SUM(K366:K370)</f>
        <v>15122.099999999999</v>
      </c>
      <c r="L371" s="3"/>
      <c r="M371" s="3"/>
      <c r="N371" s="3"/>
      <c r="O371" s="82"/>
    </row>
    <row r="372" spans="1:27" ht="9.75" customHeight="1" x14ac:dyDescent="0.4">
      <c r="A372" s="131"/>
      <c r="B372" s="832"/>
      <c r="C372" s="221"/>
      <c r="D372" s="222"/>
      <c r="E372" s="222"/>
      <c r="F372" s="222"/>
      <c r="G372" s="147"/>
      <c r="H372" s="482"/>
      <c r="I372" s="149"/>
      <c r="J372" s="149"/>
      <c r="K372" s="149"/>
      <c r="L372" s="3"/>
      <c r="M372" s="3"/>
      <c r="N372" s="3"/>
      <c r="O372" s="82"/>
    </row>
    <row r="373" spans="1:27" ht="19.5" customHeight="1" x14ac:dyDescent="0.5">
      <c r="A373" s="897" t="s">
        <v>454</v>
      </c>
      <c r="B373" s="900"/>
      <c r="C373" s="898"/>
      <c r="D373" s="898"/>
      <c r="E373" s="898"/>
      <c r="F373" s="898"/>
      <c r="G373" s="898"/>
      <c r="H373" s="898"/>
      <c r="I373" s="898" t="e">
        <f t="shared" ref="I373:I377" ca="1" si="123">-(SUMIF(INDIRECT(LEFT($A$364,4)&amp;"!E3:E200"),"="&amp;B373&amp;" *",INDIRECT(LEFT($A$364,4)&amp;"!F3:F200")))</f>
        <v>#REF!</v>
      </c>
      <c r="J373" s="898" t="e">
        <f t="shared" ca="1" si="118"/>
        <v>#REF!</v>
      </c>
      <c r="K373" s="899"/>
      <c r="L373" s="3"/>
      <c r="M373" s="3"/>
      <c r="N373" s="3"/>
      <c r="O373" s="82"/>
    </row>
    <row r="374" spans="1:27" ht="14.6" x14ac:dyDescent="0.4">
      <c r="A374" s="351"/>
      <c r="B374" s="832" t="str">
        <f>LEFT($A373,4)&amp;"-1"</f>
        <v>6810-1</v>
      </c>
      <c r="C374" s="99" t="s">
        <v>455</v>
      </c>
      <c r="D374" s="99"/>
      <c r="E374" s="99"/>
      <c r="F374" s="329">
        <v>12</v>
      </c>
      <c r="G374" s="330">
        <v>35459.730000000003</v>
      </c>
      <c r="H374" s="376">
        <f>SUM((D374+E374+F374)*G374)</f>
        <v>425516.76</v>
      </c>
      <c r="I374" s="90">
        <f ca="1">-(SUMIF(INDIRECT(LEFT($A$373,4)&amp;"!E3:E200"),"="&amp;B374&amp;" *",INDIRECT(LEFT($A$373,4)&amp;"!F3:F200")))-40299.18</f>
        <v>-390057.02999999997</v>
      </c>
      <c r="J374" s="90">
        <f t="shared" ca="1" si="118"/>
        <v>35459.73000000004</v>
      </c>
      <c r="K374" s="90">
        <v>425516.76</v>
      </c>
      <c r="L374" s="3"/>
      <c r="M374" s="3"/>
      <c r="N374" s="137"/>
      <c r="O374" s="82"/>
    </row>
    <row r="375" spans="1:27" ht="14.6" x14ac:dyDescent="0.4">
      <c r="A375" s="99"/>
      <c r="B375" s="438"/>
      <c r="C375" s="217" t="s">
        <v>144</v>
      </c>
      <c r="D375" s="99"/>
      <c r="E375" s="99"/>
      <c r="F375" s="49" t="s">
        <v>49</v>
      </c>
      <c r="G375" s="424">
        <f>SUM('3% Overview'!K27)</f>
        <v>0</v>
      </c>
      <c r="H375" s="377">
        <f>SUM(H374)</f>
        <v>425516.76</v>
      </c>
      <c r="I375" s="377">
        <f ca="1">SUM(I374)</f>
        <v>-390057.02999999997</v>
      </c>
      <c r="J375" s="377">
        <f t="shared" ref="J375" ca="1" si="124">SUM(J374)</f>
        <v>35459.73000000004</v>
      </c>
      <c r="K375" s="141">
        <f>SUM(K374)</f>
        <v>425516.76</v>
      </c>
      <c r="L375" s="3"/>
      <c r="M375" s="3"/>
      <c r="N375" s="137"/>
      <c r="O375" s="82"/>
    </row>
    <row r="376" spans="1:27" ht="9.75" customHeight="1" x14ac:dyDescent="0.4">
      <c r="A376" s="352"/>
      <c r="B376" s="832"/>
      <c r="C376" s="330"/>
      <c r="D376" s="133"/>
      <c r="E376" s="133"/>
      <c r="F376" s="133"/>
      <c r="G376" s="107"/>
      <c r="H376" s="376"/>
      <c r="I376" s="90"/>
      <c r="J376" s="90"/>
      <c r="K376" s="90"/>
      <c r="L376" s="3"/>
      <c r="M376" s="3"/>
      <c r="N376" s="3"/>
      <c r="O376" s="82"/>
    </row>
    <row r="377" spans="1:27" ht="19.5" customHeight="1" x14ac:dyDescent="0.5">
      <c r="A377" s="897" t="s">
        <v>456</v>
      </c>
      <c r="B377" s="900"/>
      <c r="C377" s="898"/>
      <c r="D377" s="898"/>
      <c r="E377" s="898"/>
      <c r="F377" s="898"/>
      <c r="G377" s="898"/>
      <c r="H377" s="898"/>
      <c r="I377" s="898" t="e">
        <f t="shared" ca="1" si="123"/>
        <v>#REF!</v>
      </c>
      <c r="J377" s="898" t="e">
        <f t="shared" ca="1" si="118"/>
        <v>#REF!</v>
      </c>
      <c r="K377" s="899"/>
      <c r="L377" s="3"/>
      <c r="M377" s="3"/>
      <c r="N377" s="3"/>
      <c r="O377" s="82"/>
    </row>
    <row r="378" spans="1:27" ht="14.6" x14ac:dyDescent="0.4">
      <c r="A378" s="570" t="s">
        <v>505</v>
      </c>
      <c r="B378" s="832" t="str">
        <f>LEFT($A377,4)&amp;"-1"</f>
        <v>8010-1</v>
      </c>
      <c r="C378" s="294" t="s">
        <v>460</v>
      </c>
      <c r="D378" s="218"/>
      <c r="E378" s="468">
        <v>1</v>
      </c>
      <c r="F378" s="49"/>
      <c r="G378" s="102">
        <v>13700</v>
      </c>
      <c r="H378" s="376">
        <f>SUM((D378+E378+F378)*G378)</f>
        <v>13700</v>
      </c>
      <c r="I378" s="90">
        <f ca="1">-(SUMIF(INDIRECT(LEFT($A$377,4)&amp;"!E3:E200"),"="&amp;B378&amp;" *",INDIRECT(LEFT($A$377,4)&amp;"!F3:F200")))</f>
        <v>-13700</v>
      </c>
      <c r="J378" s="90">
        <f t="shared" ca="1" si="118"/>
        <v>0</v>
      </c>
      <c r="K378" s="289"/>
      <c r="L378" s="3"/>
      <c r="M378" s="267"/>
      <c r="N378" s="3"/>
      <c r="O378" s="290"/>
      <c r="P378" s="82"/>
    </row>
    <row r="379" spans="1:27" ht="14.6" x14ac:dyDescent="0.4">
      <c r="A379" s="511" t="s">
        <v>532</v>
      </c>
      <c r="B379" s="831" t="str">
        <f>LEFT($B378,4)&amp;"-"&amp;VALUE(MID($B378,FIND("-",$B378)+1,256))+1</f>
        <v>8010-2</v>
      </c>
      <c r="C379" s="413" t="s">
        <v>459</v>
      </c>
      <c r="D379" s="537"/>
      <c r="E379" s="473">
        <v>1</v>
      </c>
      <c r="F379" s="537"/>
      <c r="G379" s="421">
        <v>7500</v>
      </c>
      <c r="H379" s="382">
        <f>SUM((D379+E379+F379)*G379)</f>
        <v>7500</v>
      </c>
      <c r="I379" s="417">
        <f ca="1">-(SUMIF(INDIRECT(LEFT($A$377,4)&amp;"!E3:E200"),"="&amp;B379&amp;" *",INDIRECT(LEFT($A$377,4)&amp;"!F3:F200")))</f>
        <v>-7258.75</v>
      </c>
      <c r="J379" s="417">
        <f t="shared" ref="J379:J380" ca="1" si="125">SUM(H379:I379)</f>
        <v>241.25</v>
      </c>
      <c r="K379" s="417">
        <v>7500</v>
      </c>
      <c r="L379" s="3"/>
      <c r="M379" s="247"/>
      <c r="N379" s="137"/>
      <c r="O379" s="290"/>
      <c r="P379" s="82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4.6" x14ac:dyDescent="0.4">
      <c r="A380" s="124"/>
      <c r="B380" s="278" t="str">
        <f>LEFT($B379,4)&amp;"-"&amp;VALUE(MID($B379,FIND("-",$B379)+1,256))+1</f>
        <v>8010-3</v>
      </c>
      <c r="C380" s="151" t="s">
        <v>457</v>
      </c>
      <c r="D380" s="128"/>
      <c r="E380" s="126">
        <v>5</v>
      </c>
      <c r="F380" s="128"/>
      <c r="G380" s="88">
        <v>5000</v>
      </c>
      <c r="H380" s="376">
        <f t="shared" ref="H380:H382" si="126">SUM((D380+E380+F380)*G380)</f>
        <v>25000</v>
      </c>
      <c r="I380" s="90">
        <f t="shared" ref="I380:I382" ca="1" si="127">-(SUMIF(INDIRECT(LEFT($A$377,4)&amp;"!E3:E200"),"="&amp;B380&amp;" *",INDIRECT(LEFT($A$377,4)&amp;"!F3:F200")))</f>
        <v>-17799.510000000002</v>
      </c>
      <c r="J380" s="90">
        <f t="shared" ca="1" si="125"/>
        <v>7200.489999999998</v>
      </c>
      <c r="K380" s="90">
        <v>25000</v>
      </c>
      <c r="L380" s="3"/>
      <c r="M380" s="247"/>
      <c r="N380" s="137"/>
      <c r="O380" s="82"/>
      <c r="P380" s="82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4.6" x14ac:dyDescent="0.4">
      <c r="A381" s="111"/>
      <c r="B381" s="446" t="str">
        <f>LEFT($B380,4)&amp;"-"&amp;VALUE(MID($B380,FIND("-",$B380)+1,256))+1</f>
        <v>8010-4</v>
      </c>
      <c r="C381" s="142" t="s">
        <v>458</v>
      </c>
      <c r="D381" s="123"/>
      <c r="E381" s="115">
        <v>3</v>
      </c>
      <c r="F381" s="123"/>
      <c r="G381" s="116">
        <v>7500</v>
      </c>
      <c r="H381" s="380">
        <f t="shared" si="126"/>
        <v>22500</v>
      </c>
      <c r="I381" s="417">
        <f t="shared" ca="1" si="127"/>
        <v>-7049.97</v>
      </c>
      <c r="J381" s="417">
        <f t="shared" ref="J381:J382" ca="1" si="128">SUM(H381:I381)</f>
        <v>15450.029999999999</v>
      </c>
      <c r="K381" s="113">
        <v>22500</v>
      </c>
      <c r="L381" s="3"/>
      <c r="M381" s="247"/>
      <c r="N381" s="137"/>
      <c r="O381" s="82"/>
      <c r="P381" s="82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4.6" x14ac:dyDescent="0.4">
      <c r="A382" s="570" t="s">
        <v>505</v>
      </c>
      <c r="B382" s="832" t="str">
        <f>LEFT($B381,4)&amp;"-"&amp;VALUE(MID($B381,FIND("-",$B381)+1,256))+1</f>
        <v>8010-5</v>
      </c>
      <c r="C382" s="303" t="s">
        <v>533</v>
      </c>
      <c r="D382" s="284"/>
      <c r="E382" s="126">
        <v>1</v>
      </c>
      <c r="F382" s="284"/>
      <c r="G382" s="102">
        <v>11300</v>
      </c>
      <c r="H382" s="378">
        <f t="shared" si="126"/>
        <v>11300</v>
      </c>
      <c r="I382" s="90">
        <f t="shared" ca="1" si="127"/>
        <v>-7680.38</v>
      </c>
      <c r="J382" s="90">
        <f t="shared" ca="1" si="128"/>
        <v>3619.62</v>
      </c>
      <c r="K382" s="90"/>
      <c r="L382" s="3"/>
      <c r="M382" s="247"/>
      <c r="N382" s="320"/>
      <c r="O382" s="82"/>
      <c r="P382" s="82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thickBot="1" x14ac:dyDescent="0.45">
      <c r="A383" s="131"/>
      <c r="B383" s="832"/>
      <c r="C383" s="217" t="s">
        <v>71</v>
      </c>
      <c r="D383" s="218"/>
      <c r="E383" s="218"/>
      <c r="F383" s="49" t="s">
        <v>49</v>
      </c>
      <c r="G383" s="424">
        <f>SUM('3% Overview'!K28)</f>
        <v>0.45454545454545453</v>
      </c>
      <c r="H383" s="377">
        <f>SUM(H378:H382)</f>
        <v>80000</v>
      </c>
      <c r="I383" s="377">
        <f t="shared" ref="I383:J383" ca="1" si="129">SUM(I378:I382)</f>
        <v>-53488.61</v>
      </c>
      <c r="J383" s="377">
        <f t="shared" ca="1" si="129"/>
        <v>26511.389999999996</v>
      </c>
      <c r="K383" s="288">
        <f>SUM(K380:K382)</f>
        <v>47500</v>
      </c>
      <c r="L383" s="3"/>
      <c r="M383" s="3"/>
      <c r="N383" s="3"/>
      <c r="O383" s="901"/>
      <c r="P383" s="895"/>
    </row>
    <row r="384" spans="1:27" ht="9.75" customHeight="1" thickTop="1" x14ac:dyDescent="0.4">
      <c r="A384" s="131"/>
      <c r="C384" s="221"/>
      <c r="D384" s="222"/>
      <c r="E384" s="222"/>
      <c r="F384" s="222"/>
      <c r="G384" s="143"/>
      <c r="H384" s="475"/>
      <c r="I384" s="223"/>
      <c r="J384" s="223"/>
      <c r="K384" s="223"/>
      <c r="L384" s="3"/>
      <c r="M384" s="3"/>
      <c r="N384" s="3"/>
      <c r="O384" s="82"/>
    </row>
    <row r="385" spans="1:15" ht="19.5" customHeight="1" x14ac:dyDescent="0.5">
      <c r="A385" s="897" t="s">
        <v>461</v>
      </c>
      <c r="B385" s="900"/>
      <c r="C385" s="898"/>
      <c r="D385" s="898"/>
      <c r="E385" s="898"/>
      <c r="F385" s="898"/>
      <c r="G385" s="898"/>
      <c r="H385" s="898"/>
      <c r="I385" s="898" t="e">
        <f ca="1">SUM(I365:I384)</f>
        <v>#REF!</v>
      </c>
      <c r="J385" s="898" t="e">
        <f ca="1">SUM(J365:J384)</f>
        <v>#REF!</v>
      </c>
      <c r="K385" s="899"/>
      <c r="L385" s="3"/>
      <c r="M385" s="3"/>
      <c r="N385" s="3"/>
      <c r="O385" s="82"/>
    </row>
    <row r="386" spans="1:15" ht="11.25" customHeight="1" x14ac:dyDescent="0.5">
      <c r="A386" s="336"/>
      <c r="B386" s="215" t="str">
        <f>LEFT($A385,4)&amp;"-1"</f>
        <v>8020-1</v>
      </c>
      <c r="C386" s="17"/>
      <c r="D386" s="17"/>
      <c r="E386" s="17"/>
      <c r="F386" s="17"/>
      <c r="G386" s="90"/>
      <c r="H386" s="483"/>
      <c r="I386" s="90"/>
      <c r="J386" s="90"/>
      <c r="K386" s="17"/>
      <c r="L386" s="3"/>
      <c r="M386" s="3"/>
      <c r="N386" s="3"/>
      <c r="O386" s="82"/>
    </row>
    <row r="387" spans="1:15" ht="14.6" x14ac:dyDescent="0.4">
      <c r="A387" s="131"/>
      <c r="B387" s="131"/>
      <c r="C387" s="217" t="s">
        <v>71</v>
      </c>
      <c r="D387" s="218"/>
      <c r="E387" s="218"/>
      <c r="F387" s="49" t="s">
        <v>49</v>
      </c>
      <c r="G387" s="219">
        <f>SUM('3% Overview'!K29)</f>
        <v>0</v>
      </c>
      <c r="H387" s="377">
        <f>SUM(H386)</f>
        <v>0</v>
      </c>
      <c r="I387" s="377">
        <f t="shared" ref="I387:J387" si="130">SUM(I386)</f>
        <v>0</v>
      </c>
      <c r="J387" s="377">
        <f t="shared" si="130"/>
        <v>0</v>
      </c>
      <c r="K387" s="288">
        <f>SUM(K386)</f>
        <v>0</v>
      </c>
      <c r="L387" s="3"/>
      <c r="M387" s="3"/>
      <c r="N387" s="3"/>
      <c r="O387" s="82"/>
    </row>
    <row r="388" spans="1:15" ht="10.5" customHeight="1" x14ac:dyDescent="0.4">
      <c r="A388" s="131"/>
      <c r="B388" s="830"/>
      <c r="C388" s="221"/>
      <c r="D388" s="222"/>
      <c r="E388" s="222"/>
      <c r="F388" s="222"/>
      <c r="G388" s="143"/>
      <c r="H388" s="475"/>
      <c r="I388" s="223"/>
      <c r="J388" s="223"/>
      <c r="K388" s="223"/>
      <c r="L388" s="3"/>
      <c r="M388" s="3"/>
      <c r="N388" s="3"/>
      <c r="O388" s="82"/>
    </row>
    <row r="389" spans="1:15" ht="15.75" customHeight="1" x14ac:dyDescent="0.4">
      <c r="A389" s="96"/>
      <c r="B389" s="830"/>
      <c r="C389" s="217" t="s">
        <v>280</v>
      </c>
      <c r="D389" s="218"/>
      <c r="E389" s="218"/>
      <c r="F389" s="218"/>
      <c r="G389" s="424">
        <f>(H389-K389)/K389</f>
        <v>7.0533364564973333E-2</v>
      </c>
      <c r="H389" s="484">
        <f>SUM(H387,H383,H375,H371,H363,H342,H266,H246,H242,H209,H205,H199,H171,H157,H148,H109,H89,H66,H62,H39,H18)</f>
        <v>2530626.7250000001</v>
      </c>
      <c r="I389" s="484">
        <f ca="1">SUM(I387,I383,I375,I371,I363,I342,I266,I246,I242,I209,I205,I199,I171,I157,I148,I109,I89,I66,I62,I39,I18)</f>
        <v>-2273770.08</v>
      </c>
      <c r="J389" s="484">
        <f ca="1">SUM(J387,J383,J375,J371,J363,J342,J266,J246,J242,J209,J205,J199,J171,J157,J148,J109,J89,J66,J62,J39,J18)</f>
        <v>256856.64500000011</v>
      </c>
      <c r="K389" s="208">
        <f>SUM(K387,K383,K375,K371,K363,K342,K266,K246,K242,K209,K205,K199,K171,K157,K148,K109,K89,K66,K62,K39,K18)</f>
        <v>2363893.372</v>
      </c>
      <c r="L389" s="3"/>
      <c r="M389" s="3"/>
      <c r="N389" s="3"/>
      <c r="O389" s="82"/>
    </row>
    <row r="390" spans="1:15" ht="15.75" customHeight="1" x14ac:dyDescent="0.4">
      <c r="A390" s="3"/>
      <c r="B390" s="604"/>
      <c r="C390" s="3"/>
      <c r="D390" s="3"/>
      <c r="E390" s="3"/>
      <c r="F390" s="3"/>
      <c r="G390" s="137"/>
      <c r="H390" s="483"/>
      <c r="I390" s="90"/>
      <c r="J390" s="90"/>
      <c r="K390" s="3"/>
      <c r="L390" s="3"/>
      <c r="M390" s="3"/>
      <c r="N390" s="3"/>
      <c r="O390" s="82"/>
    </row>
    <row r="391" spans="1:15" ht="15" customHeight="1" x14ac:dyDescent="0.4">
      <c r="B391" s="801"/>
    </row>
    <row r="392" spans="1:15" ht="15" customHeight="1" x14ac:dyDescent="0.4">
      <c r="B392" s="604"/>
    </row>
    <row r="393" spans="1:15" ht="15" customHeight="1" x14ac:dyDescent="0.4">
      <c r="B393" s="608"/>
    </row>
    <row r="394" spans="1:15" ht="15" customHeight="1" x14ac:dyDescent="0.4">
      <c r="B394" s="608"/>
    </row>
    <row r="395" spans="1:15" ht="15" customHeight="1" x14ac:dyDescent="0.4">
      <c r="B395" s="491"/>
    </row>
    <row r="396" spans="1:15" ht="15" customHeight="1" x14ac:dyDescent="0.4">
      <c r="B396" s="830"/>
    </row>
    <row r="397" spans="1:15" ht="15" customHeight="1" x14ac:dyDescent="0.4">
      <c r="B397" s="841"/>
    </row>
    <row r="398" spans="1:15" ht="15" customHeight="1" x14ac:dyDescent="0.4">
      <c r="B398" s="842"/>
    </row>
    <row r="399" spans="1:15" ht="15" customHeight="1" x14ac:dyDescent="0.4">
      <c r="B399" s="491"/>
    </row>
    <row r="400" spans="1:15" ht="15" customHeight="1" x14ac:dyDescent="0.4">
      <c r="B400" s="830"/>
    </row>
    <row r="401" spans="2:2" ht="15" customHeight="1" x14ac:dyDescent="0.4">
      <c r="B401" s="830"/>
    </row>
    <row r="402" spans="2:2" ht="15" customHeight="1" x14ac:dyDescent="0.4">
      <c r="B402" s="843"/>
    </row>
    <row r="403" spans="2:2" ht="15" customHeight="1" x14ac:dyDescent="0.4">
      <c r="B403" s="843"/>
    </row>
    <row r="404" spans="2:2" ht="15" customHeight="1" x14ac:dyDescent="0.4">
      <c r="B404" s="843"/>
    </row>
    <row r="405" spans="2:2" ht="15" customHeight="1" x14ac:dyDescent="0.4">
      <c r="B405" s="608"/>
    </row>
    <row r="406" spans="2:2" ht="15" customHeight="1" x14ac:dyDescent="0.4">
      <c r="B406" s="608"/>
    </row>
    <row r="407" spans="2:2" ht="15" customHeight="1" x14ac:dyDescent="0.4">
      <c r="B407" s="491"/>
    </row>
    <row r="408" spans="2:2" ht="15" customHeight="1" x14ac:dyDescent="0.4">
      <c r="B408" s="830"/>
    </row>
    <row r="409" spans="2:2" ht="15" customHeight="1" x14ac:dyDescent="0.4">
      <c r="B409" s="131"/>
    </row>
    <row r="410" spans="2:2" ht="15" customHeight="1" x14ac:dyDescent="0.4">
      <c r="B410" s="131"/>
    </row>
    <row r="411" spans="2:2" ht="15" customHeight="1" x14ac:dyDescent="0.4">
      <c r="B411" s="96"/>
    </row>
    <row r="412" spans="2:2" ht="15" customHeight="1" x14ac:dyDescent="0.4">
      <c r="B412" s="3"/>
    </row>
    <row r="413" spans="2:2" ht="15" customHeight="1" x14ac:dyDescent="0.4">
      <c r="B413" s="3"/>
    </row>
    <row r="414" spans="2:2" ht="15" customHeight="1" x14ac:dyDescent="0.4">
      <c r="B414" s="3"/>
    </row>
    <row r="415" spans="2:2" ht="15" customHeight="1" x14ac:dyDescent="0.4">
      <c r="B415" s="3"/>
    </row>
    <row r="416" spans="2:2" ht="15" customHeight="1" x14ac:dyDescent="0.4">
      <c r="B416" s="3"/>
    </row>
    <row r="417" spans="2:2" ht="15" customHeight="1" x14ac:dyDescent="0.4">
      <c r="B417" s="3"/>
    </row>
    <row r="418" spans="2:2" ht="15" customHeight="1" x14ac:dyDescent="0.4">
      <c r="B418" s="3"/>
    </row>
    <row r="419" spans="2:2" ht="15" customHeight="1" x14ac:dyDescent="0.4">
      <c r="B419" s="3"/>
    </row>
    <row r="420" spans="2:2" ht="15" customHeight="1" x14ac:dyDescent="0.4">
      <c r="B420" s="3"/>
    </row>
    <row r="421" spans="2:2" ht="15" customHeight="1" x14ac:dyDescent="0.4">
      <c r="B421" s="3"/>
    </row>
    <row r="422" spans="2:2" ht="15" customHeight="1" x14ac:dyDescent="0.4">
      <c r="B422" s="3"/>
    </row>
    <row r="423" spans="2:2" ht="15" customHeight="1" x14ac:dyDescent="0.4">
      <c r="B423" s="3"/>
    </row>
    <row r="424" spans="2:2" ht="15" customHeight="1" x14ac:dyDescent="0.4">
      <c r="B424" s="3"/>
    </row>
    <row r="425" spans="2:2" ht="15" customHeight="1" x14ac:dyDescent="0.4">
      <c r="B425" s="3"/>
    </row>
    <row r="426" spans="2:2" ht="15" customHeight="1" x14ac:dyDescent="0.4">
      <c r="B426" s="3"/>
    </row>
    <row r="427" spans="2:2" ht="15" customHeight="1" x14ac:dyDescent="0.4">
      <c r="B427" s="3"/>
    </row>
    <row r="428" spans="2:2" ht="15" customHeight="1" x14ac:dyDescent="0.4">
      <c r="B428" s="3"/>
    </row>
    <row r="429" spans="2:2" ht="15" customHeight="1" x14ac:dyDescent="0.4">
      <c r="B429" s="3"/>
    </row>
    <row r="430" spans="2:2" ht="15" customHeight="1" x14ac:dyDescent="0.4">
      <c r="B430" s="3"/>
    </row>
    <row r="431" spans="2:2" ht="15" customHeight="1" x14ac:dyDescent="0.4">
      <c r="B431" s="3"/>
    </row>
    <row r="432" spans="2:2" ht="15" customHeight="1" x14ac:dyDescent="0.4">
      <c r="B432" s="3"/>
    </row>
    <row r="433" spans="2:2" ht="15" customHeight="1" x14ac:dyDescent="0.4">
      <c r="B433" s="3"/>
    </row>
    <row r="434" spans="2:2" ht="15" customHeight="1" x14ac:dyDescent="0.4">
      <c r="B434" s="3"/>
    </row>
    <row r="435" spans="2:2" ht="15" customHeight="1" x14ac:dyDescent="0.4">
      <c r="B435" s="3"/>
    </row>
    <row r="436" spans="2:2" ht="15" customHeight="1" x14ac:dyDescent="0.4">
      <c r="B436" s="3"/>
    </row>
    <row r="437" spans="2:2" ht="15" customHeight="1" x14ac:dyDescent="0.4">
      <c r="B437" s="3"/>
    </row>
    <row r="438" spans="2:2" ht="15" customHeight="1" x14ac:dyDescent="0.4">
      <c r="B438" s="3"/>
    </row>
    <row r="439" spans="2:2" ht="15" customHeight="1" x14ac:dyDescent="0.4">
      <c r="B439" s="3"/>
    </row>
    <row r="440" spans="2:2" ht="15" customHeight="1" x14ac:dyDescent="0.4">
      <c r="B440" s="3"/>
    </row>
    <row r="441" spans="2:2" ht="15" customHeight="1" x14ac:dyDescent="0.4">
      <c r="B441" s="3"/>
    </row>
    <row r="442" spans="2:2" ht="15" customHeight="1" x14ac:dyDescent="0.4">
      <c r="B442" s="3"/>
    </row>
    <row r="443" spans="2:2" ht="15" customHeight="1" x14ac:dyDescent="0.4">
      <c r="B443" s="3"/>
    </row>
    <row r="444" spans="2:2" ht="15" customHeight="1" x14ac:dyDescent="0.4">
      <c r="B444" s="3"/>
    </row>
    <row r="445" spans="2:2" ht="15" customHeight="1" x14ac:dyDescent="0.4">
      <c r="B445" s="3"/>
    </row>
    <row r="446" spans="2:2" ht="15" customHeight="1" x14ac:dyDescent="0.4">
      <c r="B446" s="3"/>
    </row>
    <row r="447" spans="2:2" ht="15" customHeight="1" x14ac:dyDescent="0.4">
      <c r="B447" s="3"/>
    </row>
    <row r="448" spans="2:2" ht="15" customHeight="1" x14ac:dyDescent="0.4">
      <c r="B448" s="3"/>
    </row>
    <row r="449" spans="2:2" ht="15" customHeight="1" x14ac:dyDescent="0.4">
      <c r="B449" s="3"/>
    </row>
    <row r="450" spans="2:2" ht="15" customHeight="1" x14ac:dyDescent="0.4">
      <c r="B450" s="3"/>
    </row>
    <row r="451" spans="2:2" ht="15" customHeight="1" x14ac:dyDescent="0.4">
      <c r="B451" s="3"/>
    </row>
    <row r="452" spans="2:2" ht="15" customHeight="1" x14ac:dyDescent="0.4">
      <c r="B452" s="3"/>
    </row>
    <row r="453" spans="2:2" ht="15" customHeight="1" x14ac:dyDescent="0.4">
      <c r="B453" s="3"/>
    </row>
    <row r="454" spans="2:2" ht="15" customHeight="1" x14ac:dyDescent="0.4">
      <c r="B454" s="3"/>
    </row>
    <row r="455" spans="2:2" ht="15" customHeight="1" x14ac:dyDescent="0.4">
      <c r="B455" s="3"/>
    </row>
    <row r="456" spans="2:2" ht="15" customHeight="1" x14ac:dyDescent="0.4">
      <c r="B456" s="3"/>
    </row>
    <row r="457" spans="2:2" ht="15" customHeight="1" x14ac:dyDescent="0.4">
      <c r="B457" s="3"/>
    </row>
    <row r="458" spans="2:2" ht="15" customHeight="1" x14ac:dyDescent="0.4">
      <c r="B458" s="3"/>
    </row>
    <row r="459" spans="2:2" ht="15" customHeight="1" x14ac:dyDescent="0.4">
      <c r="B459" s="3"/>
    </row>
    <row r="460" spans="2:2" ht="15" customHeight="1" x14ac:dyDescent="0.4">
      <c r="B460" s="3"/>
    </row>
    <row r="461" spans="2:2" ht="15" customHeight="1" x14ac:dyDescent="0.4">
      <c r="B461" s="3"/>
    </row>
    <row r="462" spans="2:2" ht="15" customHeight="1" x14ac:dyDescent="0.4">
      <c r="B462" s="3"/>
    </row>
    <row r="463" spans="2:2" ht="15" customHeight="1" x14ac:dyDescent="0.4">
      <c r="B463" s="3"/>
    </row>
    <row r="464" spans="2:2" ht="15" customHeight="1" x14ac:dyDescent="0.4">
      <c r="B464" s="3"/>
    </row>
    <row r="465" spans="2:2" ht="15" customHeight="1" x14ac:dyDescent="0.4">
      <c r="B465" s="3"/>
    </row>
    <row r="466" spans="2:2" ht="15" customHeight="1" x14ac:dyDescent="0.4">
      <c r="B466" s="3"/>
    </row>
    <row r="467" spans="2:2" ht="15" customHeight="1" x14ac:dyDescent="0.4">
      <c r="B467" s="3"/>
    </row>
    <row r="468" spans="2:2" ht="15" customHeight="1" x14ac:dyDescent="0.4">
      <c r="B468" s="3"/>
    </row>
    <row r="469" spans="2:2" ht="15" customHeight="1" x14ac:dyDescent="0.4">
      <c r="B469" s="3"/>
    </row>
    <row r="470" spans="2:2" ht="15" customHeight="1" x14ac:dyDescent="0.4">
      <c r="B470" s="3"/>
    </row>
    <row r="471" spans="2:2" ht="15" customHeight="1" x14ac:dyDescent="0.4">
      <c r="B471" s="3"/>
    </row>
    <row r="472" spans="2:2" ht="15" customHeight="1" x14ac:dyDescent="0.4">
      <c r="B472" s="3"/>
    </row>
    <row r="473" spans="2:2" ht="15" customHeight="1" x14ac:dyDescent="0.4">
      <c r="B473" s="3"/>
    </row>
    <row r="474" spans="2:2" ht="15" customHeight="1" x14ac:dyDescent="0.4">
      <c r="B474" s="3"/>
    </row>
    <row r="475" spans="2:2" ht="15" customHeight="1" x14ac:dyDescent="0.4">
      <c r="B475" s="3"/>
    </row>
    <row r="476" spans="2:2" ht="15" customHeight="1" x14ac:dyDescent="0.4">
      <c r="B476" s="3"/>
    </row>
    <row r="477" spans="2:2" ht="15" customHeight="1" x14ac:dyDescent="0.4">
      <c r="B477" s="3"/>
    </row>
    <row r="478" spans="2:2" ht="15" customHeight="1" x14ac:dyDescent="0.4">
      <c r="B478" s="3"/>
    </row>
    <row r="479" spans="2:2" ht="15" customHeight="1" x14ac:dyDescent="0.4">
      <c r="B479" s="3"/>
    </row>
    <row r="480" spans="2:2" ht="15" customHeight="1" x14ac:dyDescent="0.4">
      <c r="B480" s="3"/>
    </row>
    <row r="481" spans="2:2" ht="15" customHeight="1" x14ac:dyDescent="0.4">
      <c r="B481" s="3"/>
    </row>
    <row r="482" spans="2:2" ht="15" customHeight="1" x14ac:dyDescent="0.4">
      <c r="B482" s="3"/>
    </row>
    <row r="483" spans="2:2" ht="15" customHeight="1" x14ac:dyDescent="0.4">
      <c r="B483" s="3"/>
    </row>
    <row r="484" spans="2:2" ht="15" customHeight="1" x14ac:dyDescent="0.4">
      <c r="B484" s="3"/>
    </row>
    <row r="485" spans="2:2" ht="15" customHeight="1" x14ac:dyDescent="0.4">
      <c r="B485" s="3"/>
    </row>
    <row r="486" spans="2:2" ht="15" customHeight="1" x14ac:dyDescent="0.4">
      <c r="B486" s="3"/>
    </row>
    <row r="487" spans="2:2" ht="15" customHeight="1" x14ac:dyDescent="0.4">
      <c r="B487" s="3"/>
    </row>
    <row r="488" spans="2:2" ht="15" customHeight="1" x14ac:dyDescent="0.4">
      <c r="B488" s="3"/>
    </row>
    <row r="489" spans="2:2" ht="15" customHeight="1" x14ac:dyDescent="0.4">
      <c r="B489" s="3"/>
    </row>
    <row r="490" spans="2:2" ht="15" customHeight="1" x14ac:dyDescent="0.4">
      <c r="B490" s="3"/>
    </row>
    <row r="491" spans="2:2" ht="15" customHeight="1" x14ac:dyDescent="0.4">
      <c r="B491" s="3"/>
    </row>
    <row r="492" spans="2:2" ht="15" customHeight="1" x14ac:dyDescent="0.4">
      <c r="B492" s="3"/>
    </row>
    <row r="493" spans="2:2" ht="15" customHeight="1" x14ac:dyDescent="0.4">
      <c r="B493" s="3"/>
    </row>
    <row r="494" spans="2:2" ht="15" customHeight="1" x14ac:dyDescent="0.4">
      <c r="B494" s="3"/>
    </row>
    <row r="495" spans="2:2" ht="15" customHeight="1" x14ac:dyDescent="0.4">
      <c r="B495" s="3"/>
    </row>
    <row r="496" spans="2:2" ht="15" customHeight="1" x14ac:dyDescent="0.4">
      <c r="B496" s="3"/>
    </row>
    <row r="497" spans="2:2" ht="15" customHeight="1" x14ac:dyDescent="0.4">
      <c r="B497" s="3"/>
    </row>
    <row r="498" spans="2:2" ht="15" customHeight="1" x14ac:dyDescent="0.4">
      <c r="B498" s="3"/>
    </row>
    <row r="499" spans="2:2" ht="15" customHeight="1" x14ac:dyDescent="0.4">
      <c r="B499" s="3"/>
    </row>
    <row r="500" spans="2:2" ht="15" customHeight="1" x14ac:dyDescent="0.4">
      <c r="B500" s="3"/>
    </row>
    <row r="501" spans="2:2" ht="15" customHeight="1" x14ac:dyDescent="0.4">
      <c r="B501" s="3"/>
    </row>
    <row r="502" spans="2:2" ht="15" customHeight="1" x14ac:dyDescent="0.4">
      <c r="B502" s="3"/>
    </row>
    <row r="503" spans="2:2" ht="15" customHeight="1" x14ac:dyDescent="0.4">
      <c r="B503" s="3"/>
    </row>
    <row r="504" spans="2:2" ht="15" customHeight="1" x14ac:dyDescent="0.4">
      <c r="B504" s="3"/>
    </row>
    <row r="505" spans="2:2" ht="15" customHeight="1" x14ac:dyDescent="0.4">
      <c r="B505" s="3"/>
    </row>
    <row r="506" spans="2:2" ht="15" customHeight="1" x14ac:dyDescent="0.4">
      <c r="B506" s="3"/>
    </row>
    <row r="507" spans="2:2" ht="15" customHeight="1" x14ac:dyDescent="0.4">
      <c r="B507" s="3"/>
    </row>
    <row r="508" spans="2:2" ht="15" customHeight="1" x14ac:dyDescent="0.4">
      <c r="B508" s="3"/>
    </row>
    <row r="509" spans="2:2" ht="15" customHeight="1" x14ac:dyDescent="0.4">
      <c r="B509" s="3"/>
    </row>
    <row r="510" spans="2:2" ht="15" customHeight="1" x14ac:dyDescent="0.4">
      <c r="B510" s="3"/>
    </row>
    <row r="511" spans="2:2" ht="15" customHeight="1" x14ac:dyDescent="0.4">
      <c r="B511" s="3"/>
    </row>
    <row r="512" spans="2:2" ht="15" customHeight="1" x14ac:dyDescent="0.4">
      <c r="B512" s="3"/>
    </row>
    <row r="513" spans="2:2" ht="15" customHeight="1" x14ac:dyDescent="0.4">
      <c r="B513" s="3"/>
    </row>
    <row r="514" spans="2:2" ht="15" customHeight="1" x14ac:dyDescent="0.4">
      <c r="B514" s="3"/>
    </row>
    <row r="515" spans="2:2" ht="15" customHeight="1" x14ac:dyDescent="0.4">
      <c r="B515" s="3"/>
    </row>
    <row r="516" spans="2:2" ht="15" customHeight="1" x14ac:dyDescent="0.4">
      <c r="B516" s="3"/>
    </row>
    <row r="517" spans="2:2" ht="15" customHeight="1" x14ac:dyDescent="0.4">
      <c r="B517" s="3"/>
    </row>
    <row r="518" spans="2:2" ht="15" customHeight="1" x14ac:dyDescent="0.4">
      <c r="B518" s="3"/>
    </row>
    <row r="519" spans="2:2" ht="15" customHeight="1" x14ac:dyDescent="0.4">
      <c r="B519" s="3"/>
    </row>
    <row r="520" spans="2:2" ht="15" customHeight="1" x14ac:dyDescent="0.4">
      <c r="B520" s="3"/>
    </row>
    <row r="521" spans="2:2" ht="15" customHeight="1" x14ac:dyDescent="0.4">
      <c r="B521" s="3"/>
    </row>
    <row r="522" spans="2:2" ht="15" customHeight="1" x14ac:dyDescent="0.4">
      <c r="B522" s="3"/>
    </row>
    <row r="523" spans="2:2" ht="15" customHeight="1" x14ac:dyDescent="0.4">
      <c r="B523" s="3"/>
    </row>
    <row r="524" spans="2:2" ht="15" customHeight="1" x14ac:dyDescent="0.4">
      <c r="B524" s="3"/>
    </row>
    <row r="525" spans="2:2" ht="15" customHeight="1" x14ac:dyDescent="0.4">
      <c r="B525" s="3"/>
    </row>
    <row r="526" spans="2:2" ht="15" customHeight="1" x14ac:dyDescent="0.4">
      <c r="B526" s="3"/>
    </row>
    <row r="527" spans="2:2" ht="15" customHeight="1" x14ac:dyDescent="0.4">
      <c r="B527" s="3"/>
    </row>
    <row r="528" spans="2:2" ht="15" customHeight="1" x14ac:dyDescent="0.4">
      <c r="B528" s="3"/>
    </row>
    <row r="529" spans="2:2" ht="15" customHeight="1" x14ac:dyDescent="0.4">
      <c r="B529" s="3"/>
    </row>
    <row r="530" spans="2:2" ht="15" customHeight="1" x14ac:dyDescent="0.4">
      <c r="B530" s="3"/>
    </row>
    <row r="531" spans="2:2" ht="15" customHeight="1" x14ac:dyDescent="0.4">
      <c r="B531" s="3"/>
    </row>
    <row r="532" spans="2:2" ht="15" customHeight="1" x14ac:dyDescent="0.4">
      <c r="B532" s="3"/>
    </row>
    <row r="533" spans="2:2" ht="15" customHeight="1" x14ac:dyDescent="0.4">
      <c r="B533" s="3"/>
    </row>
    <row r="534" spans="2:2" ht="15" customHeight="1" x14ac:dyDescent="0.4">
      <c r="B534" s="3"/>
    </row>
    <row r="535" spans="2:2" ht="15" customHeight="1" x14ac:dyDescent="0.4">
      <c r="B535" s="3"/>
    </row>
    <row r="536" spans="2:2" ht="15" customHeight="1" x14ac:dyDescent="0.4">
      <c r="B536" s="3"/>
    </row>
    <row r="537" spans="2:2" ht="15" customHeight="1" x14ac:dyDescent="0.4">
      <c r="B537" s="3"/>
    </row>
    <row r="538" spans="2:2" ht="15" customHeight="1" x14ac:dyDescent="0.4">
      <c r="B538" s="3"/>
    </row>
    <row r="539" spans="2:2" ht="15" customHeight="1" x14ac:dyDescent="0.4">
      <c r="B539" s="3"/>
    </row>
    <row r="540" spans="2:2" ht="15" customHeight="1" x14ac:dyDescent="0.4">
      <c r="B540" s="3"/>
    </row>
    <row r="541" spans="2:2" ht="15" customHeight="1" x14ac:dyDescent="0.4">
      <c r="B541" s="3"/>
    </row>
    <row r="542" spans="2:2" ht="15" customHeight="1" x14ac:dyDescent="0.4">
      <c r="B542" s="3"/>
    </row>
    <row r="543" spans="2:2" ht="15" customHeight="1" x14ac:dyDescent="0.4">
      <c r="B543" s="3"/>
    </row>
    <row r="544" spans="2:2" ht="15" customHeight="1" x14ac:dyDescent="0.4">
      <c r="B544" s="3"/>
    </row>
    <row r="545" spans="2:2" ht="15" customHeight="1" x14ac:dyDescent="0.4">
      <c r="B545" s="3"/>
    </row>
    <row r="546" spans="2:2" ht="15" customHeight="1" x14ac:dyDescent="0.4">
      <c r="B546" s="3"/>
    </row>
    <row r="547" spans="2:2" ht="15" customHeight="1" x14ac:dyDescent="0.4">
      <c r="B547" s="3"/>
    </row>
    <row r="548" spans="2:2" ht="15" customHeight="1" x14ac:dyDescent="0.4">
      <c r="B548" s="3"/>
    </row>
    <row r="549" spans="2:2" ht="15" customHeight="1" x14ac:dyDescent="0.4">
      <c r="B549" s="3"/>
    </row>
    <row r="550" spans="2:2" ht="15" customHeight="1" x14ac:dyDescent="0.4">
      <c r="B550" s="3"/>
    </row>
    <row r="551" spans="2:2" ht="15" customHeight="1" x14ac:dyDescent="0.4">
      <c r="B551" s="3"/>
    </row>
    <row r="552" spans="2:2" ht="15" customHeight="1" x14ac:dyDescent="0.4">
      <c r="B552" s="3"/>
    </row>
    <row r="553" spans="2:2" ht="15" customHeight="1" x14ac:dyDescent="0.4">
      <c r="B553" s="3"/>
    </row>
    <row r="554" spans="2:2" ht="15" customHeight="1" x14ac:dyDescent="0.4">
      <c r="B554" s="3"/>
    </row>
    <row r="555" spans="2:2" ht="15" customHeight="1" x14ac:dyDescent="0.4">
      <c r="B555" s="3"/>
    </row>
    <row r="556" spans="2:2" ht="15" customHeight="1" x14ac:dyDescent="0.4">
      <c r="B556" s="3"/>
    </row>
    <row r="557" spans="2:2" ht="15" customHeight="1" x14ac:dyDescent="0.4">
      <c r="B557" s="3"/>
    </row>
    <row r="558" spans="2:2" ht="15" customHeight="1" x14ac:dyDescent="0.4">
      <c r="B558" s="3"/>
    </row>
    <row r="559" spans="2:2" ht="15" customHeight="1" x14ac:dyDescent="0.4">
      <c r="B559" s="3"/>
    </row>
    <row r="560" spans="2:2" ht="15" customHeight="1" x14ac:dyDescent="0.4">
      <c r="B560" s="3"/>
    </row>
    <row r="561" spans="2:2" ht="15" customHeight="1" x14ac:dyDescent="0.4">
      <c r="B561" s="3"/>
    </row>
    <row r="562" spans="2:2" ht="15" customHeight="1" x14ac:dyDescent="0.4">
      <c r="B562" s="3"/>
    </row>
    <row r="563" spans="2:2" ht="15" customHeight="1" x14ac:dyDescent="0.4">
      <c r="B563" s="3"/>
    </row>
    <row r="564" spans="2:2" ht="15" customHeight="1" x14ac:dyDescent="0.4">
      <c r="B564" s="3"/>
    </row>
    <row r="565" spans="2:2" ht="15" customHeight="1" x14ac:dyDescent="0.4">
      <c r="B565" s="3"/>
    </row>
    <row r="566" spans="2:2" ht="15" customHeight="1" x14ac:dyDescent="0.4">
      <c r="B566" s="3"/>
    </row>
    <row r="567" spans="2:2" ht="15" customHeight="1" x14ac:dyDescent="0.4">
      <c r="B567" s="3"/>
    </row>
    <row r="568" spans="2:2" ht="15" customHeight="1" x14ac:dyDescent="0.4">
      <c r="B568" s="3"/>
    </row>
    <row r="569" spans="2:2" ht="15" customHeight="1" x14ac:dyDescent="0.4">
      <c r="B569" s="3"/>
    </row>
    <row r="570" spans="2:2" ht="15" customHeight="1" x14ac:dyDescent="0.4">
      <c r="B570" s="3"/>
    </row>
    <row r="571" spans="2:2" ht="15" customHeight="1" x14ac:dyDescent="0.4">
      <c r="B571" s="3"/>
    </row>
    <row r="572" spans="2:2" ht="15" customHeight="1" x14ac:dyDescent="0.4">
      <c r="B572" s="3"/>
    </row>
    <row r="573" spans="2:2" ht="15" customHeight="1" x14ac:dyDescent="0.4">
      <c r="B573" s="3"/>
    </row>
    <row r="574" spans="2:2" ht="15" customHeight="1" x14ac:dyDescent="0.4">
      <c r="B574" s="3"/>
    </row>
    <row r="575" spans="2:2" ht="15" customHeight="1" x14ac:dyDescent="0.4">
      <c r="B575" s="3"/>
    </row>
    <row r="576" spans="2:2" ht="15" customHeight="1" x14ac:dyDescent="0.4">
      <c r="B576" s="3"/>
    </row>
    <row r="577" spans="2:2" ht="15" customHeight="1" x14ac:dyDescent="0.4">
      <c r="B577" s="3"/>
    </row>
    <row r="578" spans="2:2" ht="15" customHeight="1" x14ac:dyDescent="0.4">
      <c r="B578" s="3"/>
    </row>
    <row r="579" spans="2:2" ht="15" customHeight="1" x14ac:dyDescent="0.4">
      <c r="B579" s="3"/>
    </row>
    <row r="580" spans="2:2" ht="15" customHeight="1" x14ac:dyDescent="0.4">
      <c r="B580" s="3"/>
    </row>
    <row r="581" spans="2:2" ht="15" customHeight="1" x14ac:dyDescent="0.4">
      <c r="B581" s="3"/>
    </row>
    <row r="582" spans="2:2" ht="15" customHeight="1" x14ac:dyDescent="0.4">
      <c r="B582" s="3"/>
    </row>
    <row r="583" spans="2:2" ht="15" customHeight="1" x14ac:dyDescent="0.4">
      <c r="B583" s="3"/>
    </row>
    <row r="584" spans="2:2" ht="15" customHeight="1" x14ac:dyDescent="0.4">
      <c r="B584" s="3"/>
    </row>
    <row r="585" spans="2:2" ht="15" customHeight="1" x14ac:dyDescent="0.4">
      <c r="B585" s="3"/>
    </row>
    <row r="586" spans="2:2" ht="15" customHeight="1" x14ac:dyDescent="0.4">
      <c r="B586" s="3"/>
    </row>
    <row r="587" spans="2:2" ht="15" customHeight="1" x14ac:dyDescent="0.4">
      <c r="B587" s="3"/>
    </row>
    <row r="588" spans="2:2" ht="15" customHeight="1" x14ac:dyDescent="0.4">
      <c r="B588" s="3"/>
    </row>
    <row r="589" spans="2:2" ht="15" customHeight="1" x14ac:dyDescent="0.4">
      <c r="B589" s="3"/>
    </row>
    <row r="590" spans="2:2" ht="15" customHeight="1" x14ac:dyDescent="0.4">
      <c r="B590" s="3"/>
    </row>
    <row r="591" spans="2:2" ht="15" customHeight="1" x14ac:dyDescent="0.4">
      <c r="B591" s="3"/>
    </row>
    <row r="592" spans="2:2" ht="15" customHeight="1" x14ac:dyDescent="0.4">
      <c r="B592" s="3"/>
    </row>
    <row r="593" spans="2:2" ht="15" customHeight="1" x14ac:dyDescent="0.4">
      <c r="B593" s="3"/>
    </row>
    <row r="594" spans="2:2" ht="15" customHeight="1" x14ac:dyDescent="0.4">
      <c r="B594" s="3"/>
    </row>
    <row r="595" spans="2:2" ht="15" customHeight="1" x14ac:dyDescent="0.4">
      <c r="B595" s="3"/>
    </row>
    <row r="596" spans="2:2" ht="15" customHeight="1" x14ac:dyDescent="0.4">
      <c r="B596" s="3"/>
    </row>
    <row r="597" spans="2:2" ht="15" customHeight="1" x14ac:dyDescent="0.4">
      <c r="B597" s="3"/>
    </row>
    <row r="598" spans="2:2" ht="15" customHeight="1" x14ac:dyDescent="0.4">
      <c r="B598" s="3"/>
    </row>
    <row r="599" spans="2:2" ht="15" customHeight="1" x14ac:dyDescent="0.4">
      <c r="B599" s="3"/>
    </row>
    <row r="600" spans="2:2" ht="15" customHeight="1" x14ac:dyDescent="0.4">
      <c r="B600" s="3"/>
    </row>
    <row r="601" spans="2:2" ht="15" customHeight="1" x14ac:dyDescent="0.4">
      <c r="B601" s="3"/>
    </row>
    <row r="602" spans="2:2" ht="15" customHeight="1" x14ac:dyDescent="0.4">
      <c r="B602" s="3"/>
    </row>
    <row r="603" spans="2:2" ht="15" customHeight="1" x14ac:dyDescent="0.4">
      <c r="B603" s="3"/>
    </row>
    <row r="604" spans="2:2" ht="15" customHeight="1" x14ac:dyDescent="0.4">
      <c r="B604" s="3"/>
    </row>
    <row r="605" spans="2:2" ht="15" customHeight="1" x14ac:dyDescent="0.4">
      <c r="B605" s="3"/>
    </row>
    <row r="606" spans="2:2" ht="15" customHeight="1" x14ac:dyDescent="0.4">
      <c r="B606" s="3"/>
    </row>
    <row r="607" spans="2:2" ht="15" customHeight="1" x14ac:dyDescent="0.4">
      <c r="B607" s="3"/>
    </row>
    <row r="608" spans="2:2" ht="15" customHeight="1" x14ac:dyDescent="0.4">
      <c r="B608" s="3"/>
    </row>
    <row r="609" spans="2:2" ht="15" customHeight="1" x14ac:dyDescent="0.4">
      <c r="B609" s="3"/>
    </row>
    <row r="610" spans="2:2" ht="15" customHeight="1" x14ac:dyDescent="0.4">
      <c r="B610" s="3"/>
    </row>
    <row r="611" spans="2:2" ht="15" customHeight="1" x14ac:dyDescent="0.4">
      <c r="B611" s="3"/>
    </row>
    <row r="612" spans="2:2" ht="15" customHeight="1" x14ac:dyDescent="0.4">
      <c r="B612" s="3"/>
    </row>
    <row r="613" spans="2:2" ht="15" customHeight="1" x14ac:dyDescent="0.4">
      <c r="B613" s="3"/>
    </row>
    <row r="614" spans="2:2" ht="15" customHeight="1" x14ac:dyDescent="0.4">
      <c r="B614" s="3"/>
    </row>
    <row r="615" spans="2:2" ht="15" customHeight="1" x14ac:dyDescent="0.4">
      <c r="B615" s="3"/>
    </row>
    <row r="616" spans="2:2" ht="15" customHeight="1" x14ac:dyDescent="0.4">
      <c r="B616" s="3"/>
    </row>
    <row r="617" spans="2:2" ht="15" customHeight="1" x14ac:dyDescent="0.4">
      <c r="B617" s="3"/>
    </row>
    <row r="618" spans="2:2" ht="15" customHeight="1" x14ac:dyDescent="0.4">
      <c r="B618" s="3"/>
    </row>
    <row r="619" spans="2:2" ht="15" customHeight="1" x14ac:dyDescent="0.4">
      <c r="B619" s="3"/>
    </row>
    <row r="620" spans="2:2" ht="15" customHeight="1" x14ac:dyDescent="0.4">
      <c r="B620" s="3"/>
    </row>
    <row r="621" spans="2:2" ht="15" customHeight="1" x14ac:dyDescent="0.4">
      <c r="B621" s="3"/>
    </row>
    <row r="622" spans="2:2" ht="15" customHeight="1" x14ac:dyDescent="0.4">
      <c r="B622" s="3"/>
    </row>
    <row r="623" spans="2:2" ht="15" customHeight="1" x14ac:dyDescent="0.4">
      <c r="B623" s="3"/>
    </row>
    <row r="624" spans="2:2" ht="15" customHeight="1" x14ac:dyDescent="0.4">
      <c r="B624" s="3"/>
    </row>
    <row r="625" spans="2:2" ht="15" customHeight="1" x14ac:dyDescent="0.4">
      <c r="B625" s="3"/>
    </row>
    <row r="626" spans="2:2" ht="15" customHeight="1" x14ac:dyDescent="0.4">
      <c r="B626" s="3"/>
    </row>
    <row r="627" spans="2:2" ht="15" customHeight="1" x14ac:dyDescent="0.4">
      <c r="B627" s="3"/>
    </row>
    <row r="628" spans="2:2" ht="15" customHeight="1" x14ac:dyDescent="0.4">
      <c r="B628" s="3"/>
    </row>
    <row r="629" spans="2:2" ht="15" customHeight="1" x14ac:dyDescent="0.4">
      <c r="B629" s="3"/>
    </row>
    <row r="630" spans="2:2" ht="15" customHeight="1" x14ac:dyDescent="0.4">
      <c r="B630" s="3"/>
    </row>
    <row r="631" spans="2:2" ht="15" customHeight="1" x14ac:dyDescent="0.4">
      <c r="B631" s="3"/>
    </row>
    <row r="632" spans="2:2" ht="15" customHeight="1" x14ac:dyDescent="0.4">
      <c r="B632" s="3"/>
    </row>
    <row r="633" spans="2:2" ht="15" customHeight="1" x14ac:dyDescent="0.4">
      <c r="B633" s="3"/>
    </row>
    <row r="634" spans="2:2" ht="15" customHeight="1" x14ac:dyDescent="0.4">
      <c r="B634" s="3"/>
    </row>
    <row r="635" spans="2:2" ht="15" customHeight="1" x14ac:dyDescent="0.4">
      <c r="B635" s="3"/>
    </row>
    <row r="636" spans="2:2" ht="15" customHeight="1" x14ac:dyDescent="0.4">
      <c r="B636" s="3"/>
    </row>
    <row r="637" spans="2:2" ht="15" customHeight="1" x14ac:dyDescent="0.4">
      <c r="B637" s="3"/>
    </row>
    <row r="638" spans="2:2" ht="15" customHeight="1" x14ac:dyDescent="0.4">
      <c r="B638" s="3"/>
    </row>
    <row r="639" spans="2:2" ht="15" customHeight="1" x14ac:dyDescent="0.4">
      <c r="B639" s="3"/>
    </row>
    <row r="640" spans="2:2" ht="15" customHeight="1" x14ac:dyDescent="0.4">
      <c r="B640" s="3"/>
    </row>
    <row r="641" spans="2:2" ht="15" customHeight="1" x14ac:dyDescent="0.4">
      <c r="B641" s="3"/>
    </row>
    <row r="642" spans="2:2" ht="15" customHeight="1" x14ac:dyDescent="0.4">
      <c r="B642" s="3"/>
    </row>
    <row r="643" spans="2:2" ht="15" customHeight="1" x14ac:dyDescent="0.4">
      <c r="B643" s="3"/>
    </row>
    <row r="644" spans="2:2" ht="15" customHeight="1" x14ac:dyDescent="0.4">
      <c r="B644" s="3"/>
    </row>
    <row r="645" spans="2:2" ht="15" customHeight="1" x14ac:dyDescent="0.4">
      <c r="B645" s="3"/>
    </row>
    <row r="646" spans="2:2" ht="15" customHeight="1" x14ac:dyDescent="0.4">
      <c r="B646" s="3"/>
    </row>
    <row r="647" spans="2:2" ht="15" customHeight="1" x14ac:dyDescent="0.4">
      <c r="B647" s="3"/>
    </row>
    <row r="648" spans="2:2" ht="15" customHeight="1" x14ac:dyDescent="0.4">
      <c r="B648" s="3"/>
    </row>
    <row r="649" spans="2:2" ht="15" customHeight="1" x14ac:dyDescent="0.4">
      <c r="B649" s="3"/>
    </row>
    <row r="650" spans="2:2" ht="15" customHeight="1" x14ac:dyDescent="0.4">
      <c r="B650" s="3"/>
    </row>
    <row r="651" spans="2:2" ht="15" customHeight="1" x14ac:dyDescent="0.4">
      <c r="B651" s="3"/>
    </row>
    <row r="652" spans="2:2" ht="15" customHeight="1" x14ac:dyDescent="0.4">
      <c r="B652" s="3"/>
    </row>
    <row r="653" spans="2:2" ht="15" customHeight="1" x14ac:dyDescent="0.4">
      <c r="B653" s="3"/>
    </row>
    <row r="654" spans="2:2" ht="15" customHeight="1" x14ac:dyDescent="0.4">
      <c r="B654" s="3"/>
    </row>
    <row r="655" spans="2:2" ht="15" customHeight="1" x14ac:dyDescent="0.4">
      <c r="B655" s="3"/>
    </row>
    <row r="656" spans="2:2" ht="15" customHeight="1" x14ac:dyDescent="0.4">
      <c r="B656" s="3"/>
    </row>
    <row r="657" spans="2:2" ht="15" customHeight="1" x14ac:dyDescent="0.4">
      <c r="B657" s="3"/>
    </row>
    <row r="658" spans="2:2" ht="15" customHeight="1" x14ac:dyDescent="0.4">
      <c r="B658" s="3"/>
    </row>
    <row r="659" spans="2:2" ht="15" customHeight="1" x14ac:dyDescent="0.4">
      <c r="B659" s="3"/>
    </row>
    <row r="660" spans="2:2" ht="15" customHeight="1" x14ac:dyDescent="0.4">
      <c r="B660" s="3"/>
    </row>
    <row r="661" spans="2:2" ht="15" customHeight="1" x14ac:dyDescent="0.4">
      <c r="B661" s="3"/>
    </row>
    <row r="662" spans="2:2" ht="15" customHeight="1" x14ac:dyDescent="0.4">
      <c r="B662" s="3"/>
    </row>
    <row r="663" spans="2:2" ht="15" customHeight="1" x14ac:dyDescent="0.4">
      <c r="B663" s="3"/>
    </row>
    <row r="664" spans="2:2" ht="15" customHeight="1" x14ac:dyDescent="0.4">
      <c r="B664" s="3"/>
    </row>
    <row r="665" spans="2:2" ht="15" customHeight="1" x14ac:dyDescent="0.4">
      <c r="B665" s="3"/>
    </row>
    <row r="666" spans="2:2" ht="15" customHeight="1" x14ac:dyDescent="0.4">
      <c r="B666" s="3"/>
    </row>
    <row r="667" spans="2:2" ht="15" customHeight="1" x14ac:dyDescent="0.4">
      <c r="B667" s="3"/>
    </row>
    <row r="668" spans="2:2" ht="15" customHeight="1" x14ac:dyDescent="0.4">
      <c r="B668" s="3"/>
    </row>
    <row r="669" spans="2:2" ht="15" customHeight="1" x14ac:dyDescent="0.4">
      <c r="B669" s="3"/>
    </row>
    <row r="670" spans="2:2" ht="15" customHeight="1" x14ac:dyDescent="0.4">
      <c r="B670" s="3"/>
    </row>
    <row r="671" spans="2:2" ht="15" customHeight="1" x14ac:dyDescent="0.4">
      <c r="B671" s="3"/>
    </row>
    <row r="672" spans="2:2" ht="15" customHeight="1" x14ac:dyDescent="0.4">
      <c r="B672" s="3"/>
    </row>
    <row r="673" spans="2:2" ht="15" customHeight="1" x14ac:dyDescent="0.4">
      <c r="B673" s="3"/>
    </row>
    <row r="674" spans="2:2" ht="15" customHeight="1" x14ac:dyDescent="0.4">
      <c r="B674" s="3"/>
    </row>
    <row r="675" spans="2:2" ht="15" customHeight="1" x14ac:dyDescent="0.4">
      <c r="B675" s="3"/>
    </row>
    <row r="676" spans="2:2" ht="15" customHeight="1" x14ac:dyDescent="0.4">
      <c r="B676" s="3"/>
    </row>
    <row r="677" spans="2:2" ht="15" customHeight="1" x14ac:dyDescent="0.4">
      <c r="B677" s="3"/>
    </row>
    <row r="678" spans="2:2" ht="15" customHeight="1" x14ac:dyDescent="0.4">
      <c r="B678" s="3"/>
    </row>
    <row r="679" spans="2:2" ht="15" customHeight="1" x14ac:dyDescent="0.4">
      <c r="B679" s="3"/>
    </row>
    <row r="680" spans="2:2" ht="15" customHeight="1" x14ac:dyDescent="0.4">
      <c r="B680" s="3"/>
    </row>
    <row r="681" spans="2:2" ht="15" customHeight="1" x14ac:dyDescent="0.4">
      <c r="B681" s="3"/>
    </row>
    <row r="682" spans="2:2" ht="15" customHeight="1" x14ac:dyDescent="0.4">
      <c r="B682" s="3"/>
    </row>
    <row r="683" spans="2:2" ht="15" customHeight="1" x14ac:dyDescent="0.4">
      <c r="B683" s="3"/>
    </row>
    <row r="684" spans="2:2" ht="15" customHeight="1" x14ac:dyDescent="0.4">
      <c r="B684" s="3"/>
    </row>
    <row r="685" spans="2:2" ht="15" customHeight="1" x14ac:dyDescent="0.4">
      <c r="B685" s="3"/>
    </row>
    <row r="686" spans="2:2" ht="15" customHeight="1" x14ac:dyDescent="0.4">
      <c r="B686" s="3"/>
    </row>
    <row r="687" spans="2:2" ht="15" customHeight="1" x14ac:dyDescent="0.4">
      <c r="B687" s="3"/>
    </row>
    <row r="688" spans="2:2" ht="15" customHeight="1" x14ac:dyDescent="0.4">
      <c r="B688" s="3"/>
    </row>
    <row r="689" spans="2:2" ht="15" customHeight="1" x14ac:dyDescent="0.4">
      <c r="B689" s="3"/>
    </row>
    <row r="690" spans="2:2" ht="15" customHeight="1" x14ac:dyDescent="0.4">
      <c r="B690" s="3"/>
    </row>
    <row r="691" spans="2:2" ht="15" customHeight="1" x14ac:dyDescent="0.4">
      <c r="B691" s="3"/>
    </row>
    <row r="692" spans="2:2" ht="15" customHeight="1" x14ac:dyDescent="0.4">
      <c r="B692" s="3"/>
    </row>
    <row r="693" spans="2:2" ht="15" customHeight="1" x14ac:dyDescent="0.4">
      <c r="B693" s="3"/>
    </row>
    <row r="694" spans="2:2" ht="15" customHeight="1" x14ac:dyDescent="0.4">
      <c r="B694" s="3"/>
    </row>
    <row r="695" spans="2:2" ht="15" customHeight="1" x14ac:dyDescent="0.4">
      <c r="B695" s="3"/>
    </row>
    <row r="696" spans="2:2" ht="15" customHeight="1" x14ac:dyDescent="0.4">
      <c r="B696" s="3"/>
    </row>
    <row r="697" spans="2:2" ht="15" customHeight="1" x14ac:dyDescent="0.4">
      <c r="B697" s="3"/>
    </row>
    <row r="698" spans="2:2" ht="15" customHeight="1" x14ac:dyDescent="0.4">
      <c r="B698" s="3"/>
    </row>
    <row r="699" spans="2:2" ht="15" customHeight="1" x14ac:dyDescent="0.4">
      <c r="B699" s="3"/>
    </row>
    <row r="700" spans="2:2" ht="15" customHeight="1" x14ac:dyDescent="0.4">
      <c r="B700" s="3"/>
    </row>
    <row r="701" spans="2:2" ht="15" customHeight="1" x14ac:dyDescent="0.4">
      <c r="B701" s="3"/>
    </row>
    <row r="702" spans="2:2" ht="15" customHeight="1" x14ac:dyDescent="0.4">
      <c r="B702" s="3"/>
    </row>
    <row r="703" spans="2:2" ht="15" customHeight="1" x14ac:dyDescent="0.4">
      <c r="B703" s="3"/>
    </row>
    <row r="704" spans="2:2" ht="15" customHeight="1" x14ac:dyDescent="0.4">
      <c r="B704" s="3"/>
    </row>
    <row r="705" spans="2:2" ht="15" customHeight="1" x14ac:dyDescent="0.4">
      <c r="B705" s="3"/>
    </row>
    <row r="706" spans="2:2" ht="15" customHeight="1" x14ac:dyDescent="0.4">
      <c r="B706" s="3"/>
    </row>
    <row r="707" spans="2:2" ht="15" customHeight="1" x14ac:dyDescent="0.4">
      <c r="B707" s="3"/>
    </row>
    <row r="708" spans="2:2" ht="15" customHeight="1" x14ac:dyDescent="0.4">
      <c r="B708" s="3"/>
    </row>
    <row r="709" spans="2:2" ht="15" customHeight="1" x14ac:dyDescent="0.4">
      <c r="B709" s="3"/>
    </row>
    <row r="710" spans="2:2" ht="15" customHeight="1" x14ac:dyDescent="0.4">
      <c r="B710" s="3"/>
    </row>
    <row r="711" spans="2:2" ht="15" customHeight="1" x14ac:dyDescent="0.4">
      <c r="B711" s="3"/>
    </row>
    <row r="712" spans="2:2" ht="15" customHeight="1" x14ac:dyDescent="0.4">
      <c r="B712" s="3"/>
    </row>
    <row r="713" spans="2:2" ht="15" customHeight="1" x14ac:dyDescent="0.4">
      <c r="B713" s="3"/>
    </row>
    <row r="714" spans="2:2" ht="15" customHeight="1" x14ac:dyDescent="0.4">
      <c r="B714" s="3"/>
    </row>
    <row r="715" spans="2:2" ht="15" customHeight="1" x14ac:dyDescent="0.4">
      <c r="B715" s="3"/>
    </row>
    <row r="716" spans="2:2" ht="15" customHeight="1" x14ac:dyDescent="0.4">
      <c r="B716" s="3"/>
    </row>
    <row r="717" spans="2:2" ht="15" customHeight="1" x14ac:dyDescent="0.4">
      <c r="B717" s="3"/>
    </row>
    <row r="718" spans="2:2" ht="15" customHeight="1" x14ac:dyDescent="0.4">
      <c r="B718" s="3"/>
    </row>
    <row r="719" spans="2:2" ht="15" customHeight="1" x14ac:dyDescent="0.4">
      <c r="B719" s="3"/>
    </row>
    <row r="720" spans="2:2" ht="15" customHeight="1" x14ac:dyDescent="0.4">
      <c r="B720" s="3"/>
    </row>
    <row r="721" spans="2:2" ht="15" customHeight="1" x14ac:dyDescent="0.4">
      <c r="B721" s="3"/>
    </row>
    <row r="722" spans="2:2" ht="15" customHeight="1" x14ac:dyDescent="0.4">
      <c r="B722" s="3"/>
    </row>
    <row r="723" spans="2:2" ht="15" customHeight="1" x14ac:dyDescent="0.4">
      <c r="B723" s="3"/>
    </row>
    <row r="724" spans="2:2" ht="15" customHeight="1" x14ac:dyDescent="0.4">
      <c r="B724" s="3"/>
    </row>
    <row r="725" spans="2:2" ht="15" customHeight="1" x14ac:dyDescent="0.4">
      <c r="B725" s="3"/>
    </row>
    <row r="726" spans="2:2" ht="15" customHeight="1" x14ac:dyDescent="0.4">
      <c r="B726" s="3"/>
    </row>
    <row r="727" spans="2:2" ht="15" customHeight="1" x14ac:dyDescent="0.4">
      <c r="B727" s="3"/>
    </row>
    <row r="728" spans="2:2" ht="15" customHeight="1" x14ac:dyDescent="0.4">
      <c r="B728" s="3"/>
    </row>
    <row r="729" spans="2:2" ht="15" customHeight="1" x14ac:dyDescent="0.4">
      <c r="B729" s="3"/>
    </row>
    <row r="730" spans="2:2" ht="15" customHeight="1" x14ac:dyDescent="0.4">
      <c r="B730" s="3"/>
    </row>
    <row r="731" spans="2:2" ht="15" customHeight="1" x14ac:dyDescent="0.4">
      <c r="B731" s="3"/>
    </row>
    <row r="732" spans="2:2" ht="15" customHeight="1" x14ac:dyDescent="0.4">
      <c r="B732" s="3"/>
    </row>
    <row r="733" spans="2:2" ht="15" customHeight="1" x14ac:dyDescent="0.4">
      <c r="B733" s="3"/>
    </row>
    <row r="734" spans="2:2" ht="15" customHeight="1" x14ac:dyDescent="0.4">
      <c r="B734" s="3"/>
    </row>
    <row r="735" spans="2:2" ht="15" customHeight="1" x14ac:dyDescent="0.4">
      <c r="B735" s="3"/>
    </row>
    <row r="736" spans="2:2" ht="15" customHeight="1" x14ac:dyDescent="0.4">
      <c r="B736" s="3"/>
    </row>
    <row r="737" spans="2:2" ht="15" customHeight="1" x14ac:dyDescent="0.4">
      <c r="B737" s="3"/>
    </row>
    <row r="738" spans="2:2" ht="15" customHeight="1" x14ac:dyDescent="0.4">
      <c r="B738" s="3"/>
    </row>
    <row r="739" spans="2:2" ht="15" customHeight="1" x14ac:dyDescent="0.4">
      <c r="B739" s="3"/>
    </row>
    <row r="740" spans="2:2" ht="15" customHeight="1" x14ac:dyDescent="0.4">
      <c r="B740" s="3"/>
    </row>
    <row r="741" spans="2:2" ht="15" customHeight="1" x14ac:dyDescent="0.4">
      <c r="B741" s="3"/>
    </row>
    <row r="742" spans="2:2" ht="15" customHeight="1" x14ac:dyDescent="0.4">
      <c r="B742" s="3"/>
    </row>
    <row r="743" spans="2:2" ht="15" customHeight="1" x14ac:dyDescent="0.4">
      <c r="B743" s="3"/>
    </row>
    <row r="744" spans="2:2" ht="15" customHeight="1" x14ac:dyDescent="0.4">
      <c r="B744" s="3"/>
    </row>
    <row r="745" spans="2:2" ht="15" customHeight="1" x14ac:dyDescent="0.4">
      <c r="B745" s="3"/>
    </row>
    <row r="746" spans="2:2" ht="15" customHeight="1" x14ac:dyDescent="0.4">
      <c r="B746" s="3"/>
    </row>
    <row r="747" spans="2:2" ht="15" customHeight="1" x14ac:dyDescent="0.4">
      <c r="B747" s="3"/>
    </row>
    <row r="748" spans="2:2" ht="15" customHeight="1" x14ac:dyDescent="0.4">
      <c r="B748" s="3"/>
    </row>
    <row r="749" spans="2:2" ht="15" customHeight="1" x14ac:dyDescent="0.4">
      <c r="B749" s="3"/>
    </row>
    <row r="750" spans="2:2" ht="15" customHeight="1" x14ac:dyDescent="0.4">
      <c r="B750" s="3"/>
    </row>
    <row r="751" spans="2:2" ht="15" customHeight="1" x14ac:dyDescent="0.4">
      <c r="B751" s="3"/>
    </row>
    <row r="752" spans="2:2" ht="15" customHeight="1" x14ac:dyDescent="0.4">
      <c r="B752" s="3"/>
    </row>
    <row r="753" spans="2:2" ht="15" customHeight="1" x14ac:dyDescent="0.4">
      <c r="B753" s="3"/>
    </row>
    <row r="754" spans="2:2" ht="15" customHeight="1" x14ac:dyDescent="0.4">
      <c r="B754" s="3"/>
    </row>
    <row r="755" spans="2:2" ht="15" customHeight="1" x14ac:dyDescent="0.4">
      <c r="B755" s="3"/>
    </row>
    <row r="756" spans="2:2" ht="15" customHeight="1" x14ac:dyDescent="0.4">
      <c r="B756" s="3"/>
    </row>
    <row r="757" spans="2:2" ht="15" customHeight="1" x14ac:dyDescent="0.4">
      <c r="B757" s="3"/>
    </row>
    <row r="758" spans="2:2" ht="15" customHeight="1" x14ac:dyDescent="0.4">
      <c r="B758" s="3"/>
    </row>
    <row r="759" spans="2:2" ht="15" customHeight="1" x14ac:dyDescent="0.4">
      <c r="B759" s="3"/>
    </row>
    <row r="760" spans="2:2" ht="15" customHeight="1" x14ac:dyDescent="0.4">
      <c r="B760" s="3"/>
    </row>
    <row r="761" spans="2:2" ht="15" customHeight="1" x14ac:dyDescent="0.4">
      <c r="B761" s="3"/>
    </row>
    <row r="762" spans="2:2" ht="15" customHeight="1" x14ac:dyDescent="0.4">
      <c r="B762" s="3"/>
    </row>
    <row r="763" spans="2:2" ht="15" customHeight="1" x14ac:dyDescent="0.4">
      <c r="B763" s="3"/>
    </row>
    <row r="764" spans="2:2" ht="15" customHeight="1" x14ac:dyDescent="0.4">
      <c r="B764" s="3"/>
    </row>
    <row r="765" spans="2:2" ht="15" customHeight="1" x14ac:dyDescent="0.4">
      <c r="B765" s="3"/>
    </row>
    <row r="766" spans="2:2" ht="15" customHeight="1" x14ac:dyDescent="0.4">
      <c r="B766" s="3"/>
    </row>
    <row r="767" spans="2:2" ht="15" customHeight="1" x14ac:dyDescent="0.4">
      <c r="B767" s="3"/>
    </row>
    <row r="768" spans="2:2" ht="15" customHeight="1" x14ac:dyDescent="0.4">
      <c r="B768" s="3"/>
    </row>
    <row r="769" spans="2:2" ht="15" customHeight="1" x14ac:dyDescent="0.4">
      <c r="B769" s="3"/>
    </row>
    <row r="770" spans="2:2" ht="15" customHeight="1" x14ac:dyDescent="0.4">
      <c r="B770" s="3"/>
    </row>
    <row r="771" spans="2:2" ht="15" customHeight="1" x14ac:dyDescent="0.4">
      <c r="B771" s="3"/>
    </row>
    <row r="772" spans="2:2" ht="15" customHeight="1" x14ac:dyDescent="0.4">
      <c r="B772" s="3"/>
    </row>
    <row r="773" spans="2:2" ht="15" customHeight="1" x14ac:dyDescent="0.4">
      <c r="B773" s="3"/>
    </row>
    <row r="774" spans="2:2" ht="15" customHeight="1" x14ac:dyDescent="0.4">
      <c r="B774" s="3"/>
    </row>
    <row r="775" spans="2:2" ht="15" customHeight="1" x14ac:dyDescent="0.4">
      <c r="B775" s="3"/>
    </row>
    <row r="776" spans="2:2" ht="15" customHeight="1" x14ac:dyDescent="0.4">
      <c r="B776" s="3"/>
    </row>
    <row r="777" spans="2:2" ht="15" customHeight="1" x14ac:dyDescent="0.4">
      <c r="B777" s="3"/>
    </row>
    <row r="778" spans="2:2" ht="15" customHeight="1" x14ac:dyDescent="0.4">
      <c r="B778" s="3"/>
    </row>
    <row r="779" spans="2:2" ht="15" customHeight="1" x14ac:dyDescent="0.4">
      <c r="B779" s="3"/>
    </row>
    <row r="780" spans="2:2" ht="15" customHeight="1" x14ac:dyDescent="0.4">
      <c r="B780" s="3"/>
    </row>
    <row r="781" spans="2:2" ht="15" customHeight="1" x14ac:dyDescent="0.4">
      <c r="B781" s="3"/>
    </row>
    <row r="782" spans="2:2" ht="15" customHeight="1" x14ac:dyDescent="0.4">
      <c r="B782" s="3"/>
    </row>
    <row r="783" spans="2:2" ht="15" customHeight="1" x14ac:dyDescent="0.4">
      <c r="B783" s="3"/>
    </row>
    <row r="784" spans="2:2" ht="15" customHeight="1" x14ac:dyDescent="0.4">
      <c r="B784" s="3"/>
    </row>
    <row r="785" spans="2:2" ht="15" customHeight="1" x14ac:dyDescent="0.4">
      <c r="B785" s="3"/>
    </row>
    <row r="786" spans="2:2" ht="15" customHeight="1" x14ac:dyDescent="0.4">
      <c r="B786" s="3"/>
    </row>
    <row r="787" spans="2:2" ht="15" customHeight="1" x14ac:dyDescent="0.4">
      <c r="B787" s="3"/>
    </row>
    <row r="788" spans="2:2" ht="15" customHeight="1" x14ac:dyDescent="0.4">
      <c r="B788" s="3"/>
    </row>
    <row r="789" spans="2:2" ht="15" customHeight="1" x14ac:dyDescent="0.4">
      <c r="B789" s="3"/>
    </row>
    <row r="790" spans="2:2" ht="15" customHeight="1" x14ac:dyDescent="0.4">
      <c r="B790" s="3"/>
    </row>
    <row r="791" spans="2:2" ht="15" customHeight="1" x14ac:dyDescent="0.4">
      <c r="B791" s="3"/>
    </row>
    <row r="792" spans="2:2" ht="15" customHeight="1" x14ac:dyDescent="0.4">
      <c r="B792" s="3"/>
    </row>
    <row r="793" spans="2:2" ht="15" customHeight="1" x14ac:dyDescent="0.4">
      <c r="B793" s="3"/>
    </row>
    <row r="794" spans="2:2" ht="15" customHeight="1" x14ac:dyDescent="0.4">
      <c r="B794" s="3"/>
    </row>
    <row r="795" spans="2:2" ht="15" customHeight="1" x14ac:dyDescent="0.4">
      <c r="B795" s="3"/>
    </row>
    <row r="796" spans="2:2" ht="15" customHeight="1" x14ac:dyDescent="0.4">
      <c r="B796" s="3"/>
    </row>
    <row r="797" spans="2:2" ht="15" customHeight="1" x14ac:dyDescent="0.4">
      <c r="B797" s="3"/>
    </row>
    <row r="798" spans="2:2" ht="15" customHeight="1" x14ac:dyDescent="0.4">
      <c r="B798" s="3"/>
    </row>
    <row r="799" spans="2:2" ht="15" customHeight="1" x14ac:dyDescent="0.4">
      <c r="B799" s="3"/>
    </row>
    <row r="800" spans="2:2" ht="15" customHeight="1" x14ac:dyDescent="0.4">
      <c r="B800" s="3"/>
    </row>
    <row r="801" spans="2:2" ht="15" customHeight="1" x14ac:dyDescent="0.4">
      <c r="B801" s="3"/>
    </row>
    <row r="802" spans="2:2" ht="15" customHeight="1" x14ac:dyDescent="0.4">
      <c r="B802" s="3"/>
    </row>
    <row r="803" spans="2:2" ht="15" customHeight="1" x14ac:dyDescent="0.4">
      <c r="B803" s="3"/>
    </row>
    <row r="804" spans="2:2" ht="15" customHeight="1" x14ac:dyDescent="0.4">
      <c r="B804" s="3"/>
    </row>
    <row r="805" spans="2:2" ht="15" customHeight="1" x14ac:dyDescent="0.4">
      <c r="B805" s="3"/>
    </row>
    <row r="806" spans="2:2" ht="15" customHeight="1" x14ac:dyDescent="0.4">
      <c r="B806" s="3"/>
    </row>
    <row r="807" spans="2:2" ht="15" customHeight="1" x14ac:dyDescent="0.4">
      <c r="B807" s="3"/>
    </row>
    <row r="808" spans="2:2" ht="15" customHeight="1" x14ac:dyDescent="0.4">
      <c r="B808" s="3"/>
    </row>
    <row r="809" spans="2:2" ht="15" customHeight="1" x14ac:dyDescent="0.4">
      <c r="B809" s="3"/>
    </row>
    <row r="810" spans="2:2" ht="15" customHeight="1" x14ac:dyDescent="0.4">
      <c r="B810" s="3"/>
    </row>
    <row r="811" spans="2:2" ht="15" customHeight="1" x14ac:dyDescent="0.4">
      <c r="B811" s="3"/>
    </row>
    <row r="812" spans="2:2" ht="15" customHeight="1" x14ac:dyDescent="0.4">
      <c r="B812" s="3"/>
    </row>
    <row r="813" spans="2:2" ht="15" customHeight="1" x14ac:dyDescent="0.4">
      <c r="B813" s="3"/>
    </row>
    <row r="814" spans="2:2" ht="15" customHeight="1" x14ac:dyDescent="0.4">
      <c r="B814" s="3"/>
    </row>
    <row r="815" spans="2:2" ht="15" customHeight="1" x14ac:dyDescent="0.4">
      <c r="B815" s="3"/>
    </row>
    <row r="816" spans="2:2" ht="15" customHeight="1" x14ac:dyDescent="0.4">
      <c r="B816" s="3"/>
    </row>
    <row r="817" spans="2:2" ht="15" customHeight="1" x14ac:dyDescent="0.4">
      <c r="B817" s="3"/>
    </row>
    <row r="818" spans="2:2" ht="15" customHeight="1" x14ac:dyDescent="0.4">
      <c r="B818" s="3"/>
    </row>
    <row r="819" spans="2:2" ht="15" customHeight="1" x14ac:dyDescent="0.4">
      <c r="B819" s="3"/>
    </row>
    <row r="820" spans="2:2" ht="15" customHeight="1" x14ac:dyDescent="0.4">
      <c r="B820" s="3"/>
    </row>
    <row r="821" spans="2:2" ht="15" customHeight="1" x14ac:dyDescent="0.4">
      <c r="B821" s="3"/>
    </row>
    <row r="822" spans="2:2" ht="15" customHeight="1" x14ac:dyDescent="0.4">
      <c r="B822" s="3"/>
    </row>
    <row r="823" spans="2:2" ht="15" customHeight="1" x14ac:dyDescent="0.4">
      <c r="B823" s="3"/>
    </row>
    <row r="824" spans="2:2" ht="15" customHeight="1" x14ac:dyDescent="0.4">
      <c r="B824" s="3"/>
    </row>
    <row r="825" spans="2:2" ht="15" customHeight="1" x14ac:dyDescent="0.4">
      <c r="B825" s="3"/>
    </row>
    <row r="826" spans="2:2" ht="15" customHeight="1" x14ac:dyDescent="0.4">
      <c r="B826" s="3"/>
    </row>
    <row r="827" spans="2:2" ht="15" customHeight="1" x14ac:dyDescent="0.4">
      <c r="B827" s="3"/>
    </row>
    <row r="828" spans="2:2" ht="15" customHeight="1" x14ac:dyDescent="0.4">
      <c r="B828" s="3"/>
    </row>
    <row r="829" spans="2:2" ht="15" customHeight="1" x14ac:dyDescent="0.4">
      <c r="B829" s="3"/>
    </row>
    <row r="830" spans="2:2" ht="15" customHeight="1" x14ac:dyDescent="0.4">
      <c r="B830" s="3"/>
    </row>
    <row r="831" spans="2:2" ht="15" customHeight="1" x14ac:dyDescent="0.4">
      <c r="B831" s="3"/>
    </row>
    <row r="832" spans="2:2" ht="15" customHeight="1" x14ac:dyDescent="0.4">
      <c r="B832" s="3"/>
    </row>
    <row r="833" spans="2:2" ht="15" customHeight="1" x14ac:dyDescent="0.4">
      <c r="B833" s="3"/>
    </row>
    <row r="834" spans="2:2" ht="15" customHeight="1" x14ac:dyDescent="0.4">
      <c r="B834" s="3"/>
    </row>
    <row r="835" spans="2:2" ht="15" customHeight="1" x14ac:dyDescent="0.4">
      <c r="B835" s="3"/>
    </row>
    <row r="836" spans="2:2" ht="15" customHeight="1" x14ac:dyDescent="0.4">
      <c r="B836" s="3"/>
    </row>
    <row r="837" spans="2:2" ht="15" customHeight="1" x14ac:dyDescent="0.4">
      <c r="B837" s="3"/>
    </row>
    <row r="838" spans="2:2" ht="15" customHeight="1" x14ac:dyDescent="0.4">
      <c r="B838" s="3"/>
    </row>
    <row r="839" spans="2:2" ht="15" customHeight="1" x14ac:dyDescent="0.4">
      <c r="B839" s="3"/>
    </row>
    <row r="840" spans="2:2" ht="15" customHeight="1" x14ac:dyDescent="0.4">
      <c r="B840" s="3"/>
    </row>
    <row r="841" spans="2:2" ht="15" customHeight="1" x14ac:dyDescent="0.4">
      <c r="B841" s="3"/>
    </row>
    <row r="842" spans="2:2" ht="15" customHeight="1" x14ac:dyDescent="0.4">
      <c r="B842" s="3"/>
    </row>
    <row r="843" spans="2:2" ht="15" customHeight="1" x14ac:dyDescent="0.4">
      <c r="B843" s="3"/>
    </row>
    <row r="844" spans="2:2" ht="15" customHeight="1" x14ac:dyDescent="0.4">
      <c r="B844" s="3"/>
    </row>
    <row r="845" spans="2:2" ht="15" customHeight="1" x14ac:dyDescent="0.4">
      <c r="B845" s="3"/>
    </row>
    <row r="846" spans="2:2" ht="15" customHeight="1" x14ac:dyDescent="0.4">
      <c r="B846" s="3"/>
    </row>
    <row r="847" spans="2:2" ht="15" customHeight="1" x14ac:dyDescent="0.4">
      <c r="B847" s="3"/>
    </row>
    <row r="848" spans="2:2" ht="15" customHeight="1" x14ac:dyDescent="0.4">
      <c r="B848" s="3"/>
    </row>
    <row r="849" spans="2:2" ht="15" customHeight="1" x14ac:dyDescent="0.4">
      <c r="B849" s="3"/>
    </row>
    <row r="850" spans="2:2" ht="15" customHeight="1" x14ac:dyDescent="0.4">
      <c r="B850" s="3"/>
    </row>
    <row r="851" spans="2:2" ht="15" customHeight="1" x14ac:dyDescent="0.4">
      <c r="B851" s="3"/>
    </row>
    <row r="852" spans="2:2" ht="15" customHeight="1" x14ac:dyDescent="0.4">
      <c r="B852" s="3"/>
    </row>
    <row r="853" spans="2:2" ht="15" customHeight="1" x14ac:dyDescent="0.4">
      <c r="B853" s="3"/>
    </row>
    <row r="854" spans="2:2" ht="15" customHeight="1" x14ac:dyDescent="0.4">
      <c r="B854" s="3"/>
    </row>
    <row r="855" spans="2:2" ht="15" customHeight="1" x14ac:dyDescent="0.4">
      <c r="B855" s="3"/>
    </row>
    <row r="856" spans="2:2" ht="15" customHeight="1" x14ac:dyDescent="0.4">
      <c r="B856" s="3"/>
    </row>
    <row r="857" spans="2:2" ht="15" customHeight="1" x14ac:dyDescent="0.4">
      <c r="B857" s="3"/>
    </row>
    <row r="858" spans="2:2" ht="15" customHeight="1" x14ac:dyDescent="0.4">
      <c r="B858" s="3"/>
    </row>
    <row r="859" spans="2:2" ht="15" customHeight="1" x14ac:dyDescent="0.4">
      <c r="B859" s="3"/>
    </row>
    <row r="860" spans="2:2" ht="15" customHeight="1" x14ac:dyDescent="0.4">
      <c r="B860" s="3"/>
    </row>
    <row r="861" spans="2:2" ht="15" customHeight="1" x14ac:dyDescent="0.4">
      <c r="B861" s="3"/>
    </row>
    <row r="862" spans="2:2" ht="15" customHeight="1" x14ac:dyDescent="0.4">
      <c r="B862" s="3"/>
    </row>
    <row r="863" spans="2:2" ht="15" customHeight="1" x14ac:dyDescent="0.4">
      <c r="B863" s="3"/>
    </row>
    <row r="864" spans="2:2" ht="15" customHeight="1" x14ac:dyDescent="0.4">
      <c r="B864" s="3"/>
    </row>
    <row r="865" spans="2:2" ht="15" customHeight="1" x14ac:dyDescent="0.4">
      <c r="B865" s="3"/>
    </row>
    <row r="866" spans="2:2" ht="15" customHeight="1" x14ac:dyDescent="0.4">
      <c r="B866" s="3"/>
    </row>
    <row r="867" spans="2:2" ht="15" customHeight="1" x14ac:dyDescent="0.4">
      <c r="B867" s="3"/>
    </row>
    <row r="868" spans="2:2" ht="15" customHeight="1" x14ac:dyDescent="0.4">
      <c r="B868" s="3"/>
    </row>
    <row r="869" spans="2:2" ht="15" customHeight="1" x14ac:dyDescent="0.4">
      <c r="B869" s="3"/>
    </row>
    <row r="870" spans="2:2" ht="15" customHeight="1" x14ac:dyDescent="0.4">
      <c r="B870" s="3"/>
    </row>
    <row r="871" spans="2:2" ht="15" customHeight="1" x14ac:dyDescent="0.4">
      <c r="B871" s="3"/>
    </row>
    <row r="872" spans="2:2" ht="15" customHeight="1" x14ac:dyDescent="0.4">
      <c r="B872" s="3"/>
    </row>
    <row r="873" spans="2:2" ht="15" customHeight="1" x14ac:dyDescent="0.4">
      <c r="B873" s="3"/>
    </row>
    <row r="874" spans="2:2" ht="15" customHeight="1" x14ac:dyDescent="0.4">
      <c r="B874" s="3"/>
    </row>
    <row r="875" spans="2:2" ht="15" customHeight="1" x14ac:dyDescent="0.4">
      <c r="B875" s="3"/>
    </row>
    <row r="876" spans="2:2" ht="15" customHeight="1" x14ac:dyDescent="0.4">
      <c r="B876" s="3"/>
    </row>
    <row r="877" spans="2:2" ht="15" customHeight="1" x14ac:dyDescent="0.4">
      <c r="B877" s="3"/>
    </row>
    <row r="878" spans="2:2" ht="15" customHeight="1" x14ac:dyDescent="0.4">
      <c r="B878" s="3"/>
    </row>
    <row r="879" spans="2:2" ht="15" customHeight="1" x14ac:dyDescent="0.4">
      <c r="B879" s="3"/>
    </row>
    <row r="880" spans="2:2" ht="15" customHeight="1" x14ac:dyDescent="0.4">
      <c r="B880" s="3"/>
    </row>
    <row r="881" spans="2:2" ht="15" customHeight="1" x14ac:dyDescent="0.4">
      <c r="B881" s="3"/>
    </row>
    <row r="882" spans="2:2" ht="15" customHeight="1" x14ac:dyDescent="0.4">
      <c r="B882" s="3"/>
    </row>
    <row r="883" spans="2:2" ht="15" customHeight="1" x14ac:dyDescent="0.4">
      <c r="B883" s="3"/>
    </row>
    <row r="884" spans="2:2" ht="15" customHeight="1" x14ac:dyDescent="0.4">
      <c r="B884" s="3"/>
    </row>
    <row r="885" spans="2:2" ht="15" customHeight="1" x14ac:dyDescent="0.4">
      <c r="B885" s="3"/>
    </row>
    <row r="886" spans="2:2" ht="15" customHeight="1" x14ac:dyDescent="0.4">
      <c r="B886" s="3"/>
    </row>
    <row r="887" spans="2:2" ht="15" customHeight="1" x14ac:dyDescent="0.4">
      <c r="B887" s="3"/>
    </row>
    <row r="888" spans="2:2" ht="15" customHeight="1" x14ac:dyDescent="0.4">
      <c r="B888" s="3"/>
    </row>
    <row r="889" spans="2:2" ht="15" customHeight="1" x14ac:dyDescent="0.4">
      <c r="B889" s="3"/>
    </row>
    <row r="890" spans="2:2" ht="15" customHeight="1" x14ac:dyDescent="0.4">
      <c r="B890" s="3"/>
    </row>
    <row r="891" spans="2:2" ht="15" customHeight="1" x14ac:dyDescent="0.4">
      <c r="B891" s="3"/>
    </row>
    <row r="892" spans="2:2" ht="15" customHeight="1" x14ac:dyDescent="0.4">
      <c r="B892" s="3"/>
    </row>
    <row r="893" spans="2:2" ht="15" customHeight="1" x14ac:dyDescent="0.4">
      <c r="B893" s="3"/>
    </row>
    <row r="894" spans="2:2" ht="15" customHeight="1" x14ac:dyDescent="0.4">
      <c r="B894" s="3"/>
    </row>
    <row r="895" spans="2:2" ht="15" customHeight="1" x14ac:dyDescent="0.4">
      <c r="B895" s="3"/>
    </row>
    <row r="896" spans="2:2" ht="15" customHeight="1" x14ac:dyDescent="0.4">
      <c r="B896" s="3"/>
    </row>
    <row r="897" spans="2:2" ht="15" customHeight="1" x14ac:dyDescent="0.4">
      <c r="B897" s="3"/>
    </row>
    <row r="898" spans="2:2" ht="15" customHeight="1" x14ac:dyDescent="0.4">
      <c r="B898" s="3"/>
    </row>
    <row r="899" spans="2:2" ht="15" customHeight="1" x14ac:dyDescent="0.4">
      <c r="B899" s="3"/>
    </row>
    <row r="900" spans="2:2" ht="15" customHeight="1" x14ac:dyDescent="0.4">
      <c r="B900" s="3"/>
    </row>
    <row r="901" spans="2:2" ht="15" customHeight="1" x14ac:dyDescent="0.4">
      <c r="B901" s="3"/>
    </row>
    <row r="902" spans="2:2" ht="15" customHeight="1" x14ac:dyDescent="0.4">
      <c r="B902" s="3"/>
    </row>
    <row r="903" spans="2:2" ht="15" customHeight="1" x14ac:dyDescent="0.4">
      <c r="B903" s="3"/>
    </row>
    <row r="904" spans="2:2" ht="15" customHeight="1" x14ac:dyDescent="0.4">
      <c r="B904" s="3"/>
    </row>
    <row r="905" spans="2:2" ht="15" customHeight="1" x14ac:dyDescent="0.4">
      <c r="B905" s="3"/>
    </row>
    <row r="906" spans="2:2" ht="15" customHeight="1" x14ac:dyDescent="0.4">
      <c r="B906" s="3"/>
    </row>
    <row r="907" spans="2:2" ht="15" customHeight="1" x14ac:dyDescent="0.4">
      <c r="B907" s="3"/>
    </row>
    <row r="908" spans="2:2" ht="15" customHeight="1" x14ac:dyDescent="0.4">
      <c r="B908" s="3"/>
    </row>
    <row r="909" spans="2:2" ht="15" customHeight="1" x14ac:dyDescent="0.4">
      <c r="B909" s="3"/>
    </row>
    <row r="910" spans="2:2" ht="15" customHeight="1" x14ac:dyDescent="0.4">
      <c r="B910" s="3"/>
    </row>
    <row r="911" spans="2:2" ht="15" customHeight="1" x14ac:dyDescent="0.4">
      <c r="B911" s="3"/>
    </row>
    <row r="912" spans="2:2" ht="15" customHeight="1" x14ac:dyDescent="0.4">
      <c r="B912" s="3"/>
    </row>
    <row r="913" spans="2:2" ht="15" customHeight="1" x14ac:dyDescent="0.4">
      <c r="B913" s="3"/>
    </row>
    <row r="914" spans="2:2" ht="15" customHeight="1" x14ac:dyDescent="0.4">
      <c r="B914" s="3"/>
    </row>
    <row r="915" spans="2:2" ht="15" customHeight="1" x14ac:dyDescent="0.4">
      <c r="B915" s="3"/>
    </row>
    <row r="916" spans="2:2" ht="15" customHeight="1" x14ac:dyDescent="0.4">
      <c r="B916" s="3"/>
    </row>
    <row r="917" spans="2:2" ht="15" customHeight="1" x14ac:dyDescent="0.4">
      <c r="B917" s="3"/>
    </row>
    <row r="918" spans="2:2" ht="15" customHeight="1" x14ac:dyDescent="0.4">
      <c r="B918" s="3"/>
    </row>
    <row r="919" spans="2:2" ht="15" customHeight="1" x14ac:dyDescent="0.4">
      <c r="B919" s="3"/>
    </row>
    <row r="920" spans="2:2" ht="15" customHeight="1" x14ac:dyDescent="0.4">
      <c r="B920" s="3"/>
    </row>
    <row r="921" spans="2:2" ht="15" customHeight="1" x14ac:dyDescent="0.4">
      <c r="B921" s="3"/>
    </row>
    <row r="922" spans="2:2" ht="15" customHeight="1" x14ac:dyDescent="0.4">
      <c r="B922" s="3"/>
    </row>
    <row r="923" spans="2:2" ht="15" customHeight="1" x14ac:dyDescent="0.4">
      <c r="B923" s="3"/>
    </row>
    <row r="924" spans="2:2" ht="15" customHeight="1" x14ac:dyDescent="0.4">
      <c r="B924" s="3"/>
    </row>
    <row r="925" spans="2:2" ht="15" customHeight="1" x14ac:dyDescent="0.4">
      <c r="B925" s="3"/>
    </row>
    <row r="926" spans="2:2" ht="15" customHeight="1" x14ac:dyDescent="0.4">
      <c r="B926" s="3"/>
    </row>
    <row r="927" spans="2:2" ht="15" customHeight="1" x14ac:dyDescent="0.4">
      <c r="B927" s="3"/>
    </row>
    <row r="928" spans="2:2" ht="15" customHeight="1" x14ac:dyDescent="0.4">
      <c r="B928" s="3"/>
    </row>
    <row r="929" spans="2:2" ht="15" customHeight="1" x14ac:dyDescent="0.4">
      <c r="B929" s="3"/>
    </row>
    <row r="930" spans="2:2" ht="15" customHeight="1" x14ac:dyDescent="0.4">
      <c r="B930" s="3"/>
    </row>
    <row r="931" spans="2:2" ht="15" customHeight="1" x14ac:dyDescent="0.4">
      <c r="B931" s="3"/>
    </row>
    <row r="932" spans="2:2" ht="15" customHeight="1" x14ac:dyDescent="0.4">
      <c r="B932" s="3"/>
    </row>
    <row r="933" spans="2:2" ht="15" customHeight="1" x14ac:dyDescent="0.4">
      <c r="B933" s="3"/>
    </row>
    <row r="934" spans="2:2" ht="15" customHeight="1" x14ac:dyDescent="0.4">
      <c r="B934" s="3"/>
    </row>
    <row r="935" spans="2:2" ht="15" customHeight="1" x14ac:dyDescent="0.4">
      <c r="B935" s="3"/>
    </row>
    <row r="936" spans="2:2" ht="15" customHeight="1" x14ac:dyDescent="0.4">
      <c r="B936" s="3"/>
    </row>
    <row r="937" spans="2:2" ht="15" customHeight="1" x14ac:dyDescent="0.4">
      <c r="B937" s="3"/>
    </row>
    <row r="938" spans="2:2" ht="15" customHeight="1" x14ac:dyDescent="0.4">
      <c r="B938" s="3"/>
    </row>
    <row r="939" spans="2:2" ht="15" customHeight="1" x14ac:dyDescent="0.4">
      <c r="B939" s="3"/>
    </row>
    <row r="940" spans="2:2" ht="15" customHeight="1" x14ac:dyDescent="0.4">
      <c r="B940" s="3"/>
    </row>
    <row r="941" spans="2:2" ht="15" customHeight="1" x14ac:dyDescent="0.4">
      <c r="B941" s="3"/>
    </row>
    <row r="942" spans="2:2" ht="15" customHeight="1" x14ac:dyDescent="0.4">
      <c r="B942" s="3"/>
    </row>
    <row r="943" spans="2:2" ht="15" customHeight="1" x14ac:dyDescent="0.4">
      <c r="B943" s="3"/>
    </row>
    <row r="944" spans="2:2" ht="15" customHeight="1" x14ac:dyDescent="0.4">
      <c r="B944" s="3"/>
    </row>
    <row r="945" spans="2:2" ht="15" customHeight="1" x14ac:dyDescent="0.4">
      <c r="B945" s="3"/>
    </row>
    <row r="946" spans="2:2" ht="15" customHeight="1" x14ac:dyDescent="0.4">
      <c r="B946" s="3"/>
    </row>
    <row r="947" spans="2:2" ht="15" customHeight="1" x14ac:dyDescent="0.4">
      <c r="B947" s="3"/>
    </row>
    <row r="948" spans="2:2" ht="15" customHeight="1" x14ac:dyDescent="0.4">
      <c r="B948" s="3"/>
    </row>
    <row r="949" spans="2:2" ht="15" customHeight="1" x14ac:dyDescent="0.4">
      <c r="B949" s="3"/>
    </row>
    <row r="950" spans="2:2" ht="15" customHeight="1" x14ac:dyDescent="0.4">
      <c r="B950" s="3"/>
    </row>
    <row r="951" spans="2:2" ht="15" customHeight="1" x14ac:dyDescent="0.4">
      <c r="B951" s="3"/>
    </row>
    <row r="952" spans="2:2" ht="15" customHeight="1" x14ac:dyDescent="0.4">
      <c r="B952" s="3"/>
    </row>
    <row r="953" spans="2:2" ht="15" customHeight="1" x14ac:dyDescent="0.4">
      <c r="B953" s="3"/>
    </row>
    <row r="954" spans="2:2" ht="15" customHeight="1" x14ac:dyDescent="0.4">
      <c r="B954" s="3"/>
    </row>
    <row r="955" spans="2:2" ht="15" customHeight="1" x14ac:dyDescent="0.4">
      <c r="B955" s="3"/>
    </row>
    <row r="956" spans="2:2" ht="15" customHeight="1" x14ac:dyDescent="0.4">
      <c r="B956" s="3"/>
    </row>
    <row r="957" spans="2:2" ht="15" customHeight="1" x14ac:dyDescent="0.4">
      <c r="B957" s="3"/>
    </row>
    <row r="958" spans="2:2" ht="15" customHeight="1" x14ac:dyDescent="0.4">
      <c r="B958" s="3"/>
    </row>
    <row r="959" spans="2:2" ht="15" customHeight="1" x14ac:dyDescent="0.4">
      <c r="B959" s="3"/>
    </row>
    <row r="960" spans="2:2" ht="15" customHeight="1" x14ac:dyDescent="0.4">
      <c r="B960" s="3"/>
    </row>
    <row r="961" spans="2:2" ht="15" customHeight="1" x14ac:dyDescent="0.4">
      <c r="B961" s="3"/>
    </row>
    <row r="962" spans="2:2" ht="15" customHeight="1" x14ac:dyDescent="0.4">
      <c r="B962" s="3"/>
    </row>
    <row r="963" spans="2:2" ht="15" customHeight="1" x14ac:dyDescent="0.4">
      <c r="B963" s="3"/>
    </row>
    <row r="964" spans="2:2" ht="15" customHeight="1" x14ac:dyDescent="0.4">
      <c r="B964" s="3"/>
    </row>
    <row r="965" spans="2:2" ht="15" customHeight="1" x14ac:dyDescent="0.4">
      <c r="B965" s="3"/>
    </row>
    <row r="966" spans="2:2" ht="15" customHeight="1" x14ac:dyDescent="0.4">
      <c r="B966" s="3"/>
    </row>
    <row r="967" spans="2:2" ht="15" customHeight="1" x14ac:dyDescent="0.4">
      <c r="B967" s="3"/>
    </row>
    <row r="968" spans="2:2" ht="15" customHeight="1" x14ac:dyDescent="0.4">
      <c r="B968" s="3"/>
    </row>
    <row r="969" spans="2:2" ht="15" customHeight="1" x14ac:dyDescent="0.4">
      <c r="B969" s="3"/>
    </row>
    <row r="970" spans="2:2" ht="15" customHeight="1" x14ac:dyDescent="0.4">
      <c r="B970" s="3"/>
    </row>
    <row r="971" spans="2:2" ht="15" customHeight="1" x14ac:dyDescent="0.4">
      <c r="B971" s="3"/>
    </row>
    <row r="972" spans="2:2" ht="15" customHeight="1" x14ac:dyDescent="0.4">
      <c r="B972" s="3"/>
    </row>
    <row r="973" spans="2:2" ht="15" customHeight="1" x14ac:dyDescent="0.4">
      <c r="B973" s="3"/>
    </row>
    <row r="974" spans="2:2" ht="15" customHeight="1" x14ac:dyDescent="0.4">
      <c r="B974" s="3"/>
    </row>
    <row r="975" spans="2:2" ht="15" customHeight="1" x14ac:dyDescent="0.4">
      <c r="B975" s="3"/>
    </row>
    <row r="976" spans="2:2" ht="15" customHeight="1" x14ac:dyDescent="0.4">
      <c r="B976" s="3"/>
    </row>
    <row r="977" spans="2:2" ht="15" customHeight="1" x14ac:dyDescent="0.4">
      <c r="B977" s="3"/>
    </row>
    <row r="978" spans="2:2" ht="15" customHeight="1" x14ac:dyDescent="0.4">
      <c r="B978" s="3"/>
    </row>
    <row r="979" spans="2:2" ht="15" customHeight="1" x14ac:dyDescent="0.4">
      <c r="B979" s="3"/>
    </row>
    <row r="980" spans="2:2" ht="15" customHeight="1" x14ac:dyDescent="0.4">
      <c r="B980" s="3"/>
    </row>
    <row r="981" spans="2:2" ht="15" customHeight="1" x14ac:dyDescent="0.4">
      <c r="B981" s="3"/>
    </row>
    <row r="982" spans="2:2" ht="15" customHeight="1" x14ac:dyDescent="0.4">
      <c r="B982" s="3"/>
    </row>
    <row r="983" spans="2:2" ht="15" customHeight="1" x14ac:dyDescent="0.4">
      <c r="B983" s="3"/>
    </row>
    <row r="984" spans="2:2" ht="15" customHeight="1" x14ac:dyDescent="0.4">
      <c r="B984" s="3"/>
    </row>
    <row r="985" spans="2:2" ht="15" customHeight="1" x14ac:dyDescent="0.4">
      <c r="B985" s="3"/>
    </row>
    <row r="986" spans="2:2" ht="15" customHeight="1" x14ac:dyDescent="0.4">
      <c r="B986" s="3"/>
    </row>
    <row r="987" spans="2:2" ht="15" customHeight="1" x14ac:dyDescent="0.4">
      <c r="B987" s="3"/>
    </row>
    <row r="988" spans="2:2" ht="15" customHeight="1" x14ac:dyDescent="0.4">
      <c r="B988" s="3"/>
    </row>
    <row r="989" spans="2:2" ht="15" customHeight="1" x14ac:dyDescent="0.4">
      <c r="B989" s="3"/>
    </row>
    <row r="990" spans="2:2" ht="15" customHeight="1" x14ac:dyDescent="0.4">
      <c r="B990" s="3"/>
    </row>
    <row r="991" spans="2:2" ht="15" customHeight="1" x14ac:dyDescent="0.4">
      <c r="B991" s="3"/>
    </row>
    <row r="992" spans="2:2" ht="15" customHeight="1" x14ac:dyDescent="0.4">
      <c r="B992" s="3"/>
    </row>
    <row r="993" spans="2:2" ht="15" customHeight="1" x14ac:dyDescent="0.4">
      <c r="B993" s="3"/>
    </row>
    <row r="994" spans="2:2" ht="15" customHeight="1" x14ac:dyDescent="0.4">
      <c r="B994" s="3"/>
    </row>
    <row r="995" spans="2:2" ht="15" customHeight="1" x14ac:dyDescent="0.4">
      <c r="B995" s="3"/>
    </row>
    <row r="996" spans="2:2" ht="15" customHeight="1" x14ac:dyDescent="0.4">
      <c r="B996" s="3"/>
    </row>
    <row r="997" spans="2:2" ht="15" customHeight="1" x14ac:dyDescent="0.4">
      <c r="B997" s="3"/>
    </row>
    <row r="998" spans="2:2" ht="15" customHeight="1" x14ac:dyDescent="0.4">
      <c r="B998" s="3"/>
    </row>
    <row r="999" spans="2:2" ht="15" customHeight="1" x14ac:dyDescent="0.4">
      <c r="B999" s="3"/>
    </row>
    <row r="1000" spans="2:2" ht="15" customHeight="1" x14ac:dyDescent="0.4">
      <c r="B1000" s="3"/>
    </row>
    <row r="1001" spans="2:2" ht="15" customHeight="1" x14ac:dyDescent="0.4">
      <c r="B1001" s="3"/>
    </row>
    <row r="1002" spans="2:2" ht="15" customHeight="1" x14ac:dyDescent="0.4">
      <c r="B1002" s="3"/>
    </row>
    <row r="1003" spans="2:2" ht="15" customHeight="1" x14ac:dyDescent="0.4">
      <c r="B1003" s="3"/>
    </row>
    <row r="1004" spans="2:2" ht="15" customHeight="1" x14ac:dyDescent="0.4">
      <c r="B1004" s="3"/>
    </row>
    <row r="1005" spans="2:2" ht="15" customHeight="1" x14ac:dyDescent="0.4">
      <c r="B1005" s="3"/>
    </row>
    <row r="1006" spans="2:2" ht="15" customHeight="1" x14ac:dyDescent="0.4">
      <c r="B1006" s="3"/>
    </row>
    <row r="1007" spans="2:2" ht="15" customHeight="1" x14ac:dyDescent="0.4">
      <c r="B1007" s="3"/>
    </row>
    <row r="1008" spans="2:2" ht="15" customHeight="1" x14ac:dyDescent="0.4">
      <c r="B1008" s="3"/>
    </row>
    <row r="1009" spans="2:2" ht="15" customHeight="1" x14ac:dyDescent="0.4">
      <c r="B1009" s="3"/>
    </row>
    <row r="1010" spans="2:2" ht="15" customHeight="1" x14ac:dyDescent="0.4">
      <c r="B1010" s="3"/>
    </row>
    <row r="1011" spans="2:2" ht="15" customHeight="1" x14ac:dyDescent="0.4">
      <c r="B1011" s="3"/>
    </row>
    <row r="1012" spans="2:2" ht="15" customHeight="1" x14ac:dyDescent="0.4">
      <c r="B1012" s="3"/>
    </row>
    <row r="1013" spans="2:2" ht="15" customHeight="1" x14ac:dyDescent="0.4">
      <c r="B1013" s="3"/>
    </row>
    <row r="1014" spans="2:2" ht="15" customHeight="1" x14ac:dyDescent="0.4">
      <c r="B1014" s="3"/>
    </row>
    <row r="1015" spans="2:2" ht="15" customHeight="1" x14ac:dyDescent="0.4">
      <c r="B1015" s="3"/>
    </row>
    <row r="1016" spans="2:2" ht="15" customHeight="1" x14ac:dyDescent="0.4">
      <c r="B1016" s="3"/>
    </row>
    <row r="1017" spans="2:2" ht="15" customHeight="1" x14ac:dyDescent="0.4">
      <c r="B1017" s="3"/>
    </row>
    <row r="1018" spans="2:2" ht="15" customHeight="1" x14ac:dyDescent="0.4">
      <c r="B1018" s="3"/>
    </row>
    <row r="1019" spans="2:2" ht="15" customHeight="1" x14ac:dyDescent="0.4">
      <c r="B1019" s="3"/>
    </row>
    <row r="1020" spans="2:2" ht="15" customHeight="1" x14ac:dyDescent="0.4">
      <c r="B1020" s="3"/>
    </row>
    <row r="1021" spans="2:2" ht="15" customHeight="1" x14ac:dyDescent="0.4">
      <c r="B1021" s="3"/>
    </row>
    <row r="1022" spans="2:2" ht="15" customHeight="1" x14ac:dyDescent="0.4">
      <c r="B1022" s="3"/>
    </row>
    <row r="1023" spans="2:2" ht="15" customHeight="1" x14ac:dyDescent="0.4">
      <c r="B1023" s="3"/>
    </row>
    <row r="1024" spans="2:2" ht="15" customHeight="1" x14ac:dyDescent="0.4">
      <c r="B1024" s="3"/>
    </row>
    <row r="1025" spans="2:2" ht="15" customHeight="1" x14ac:dyDescent="0.4">
      <c r="B1025" s="3"/>
    </row>
    <row r="1026" spans="2:2" ht="15" customHeight="1" x14ac:dyDescent="0.4">
      <c r="B1026" s="3"/>
    </row>
    <row r="1027" spans="2:2" ht="15" customHeight="1" x14ac:dyDescent="0.4">
      <c r="B1027" s="3"/>
    </row>
    <row r="1028" spans="2:2" ht="15" customHeight="1" x14ac:dyDescent="0.4">
      <c r="B1028" s="3"/>
    </row>
    <row r="1029" spans="2:2" ht="15" customHeight="1" x14ac:dyDescent="0.4">
      <c r="B1029" s="3"/>
    </row>
    <row r="1030" spans="2:2" ht="15" customHeight="1" x14ac:dyDescent="0.4">
      <c r="B1030" s="3"/>
    </row>
  </sheetData>
  <mergeCells count="22">
    <mergeCell ref="A68:K68"/>
    <mergeCell ref="A64:K64"/>
    <mergeCell ref="A111:K111"/>
    <mergeCell ref="A20:K20"/>
    <mergeCell ref="A2:K2"/>
    <mergeCell ref="A41:K41"/>
    <mergeCell ref="A91:K91"/>
    <mergeCell ref="A173:K173"/>
    <mergeCell ref="A159:K159"/>
    <mergeCell ref="A150:K150"/>
    <mergeCell ref="A373:K373"/>
    <mergeCell ref="O383:P383"/>
    <mergeCell ref="A207:K207"/>
    <mergeCell ref="A201:K201"/>
    <mergeCell ref="A385:K385"/>
    <mergeCell ref="A377:K377"/>
    <mergeCell ref="A211:K211"/>
    <mergeCell ref="A248:K248"/>
    <mergeCell ref="A244:K244"/>
    <mergeCell ref="A365:K365"/>
    <mergeCell ref="A343:K343"/>
    <mergeCell ref="A268:K268"/>
  </mergeCells>
  <conditionalFormatting sqref="G18">
    <cfRule type="cellIs" dxfId="92" priority="67" operator="lessThan">
      <formula>0</formula>
    </cfRule>
    <cfRule type="cellIs" dxfId="91" priority="68" operator="greaterThan">
      <formula>0</formula>
    </cfRule>
    <cfRule type="cellIs" dxfId="90" priority="69" operator="equal">
      <formula>0</formula>
    </cfRule>
  </conditionalFormatting>
  <conditionalFormatting sqref="G39">
    <cfRule type="cellIs" dxfId="89" priority="64" operator="lessThan">
      <formula>0</formula>
    </cfRule>
    <cfRule type="cellIs" dxfId="88" priority="65" operator="greaterThan">
      <formula>0</formula>
    </cfRule>
    <cfRule type="cellIs" dxfId="87" priority="66" operator="equal">
      <formula>0</formula>
    </cfRule>
  </conditionalFormatting>
  <conditionalFormatting sqref="G62">
    <cfRule type="cellIs" dxfId="86" priority="61" operator="lessThan">
      <formula>0</formula>
    </cfRule>
    <cfRule type="cellIs" dxfId="85" priority="62" operator="greaterThan">
      <formula>0</formula>
    </cfRule>
    <cfRule type="cellIs" dxfId="84" priority="63" operator="equal">
      <formula>0</formula>
    </cfRule>
  </conditionalFormatting>
  <conditionalFormatting sqref="G66">
    <cfRule type="cellIs" dxfId="83" priority="58" operator="lessThan">
      <formula>0</formula>
    </cfRule>
    <cfRule type="cellIs" dxfId="82" priority="59" operator="greaterThan">
      <formula>0</formula>
    </cfRule>
    <cfRule type="cellIs" dxfId="81" priority="60" operator="equal">
      <formula>0</formula>
    </cfRule>
  </conditionalFormatting>
  <conditionalFormatting sqref="G89">
    <cfRule type="cellIs" dxfId="80" priority="55" operator="lessThan">
      <formula>0</formula>
    </cfRule>
    <cfRule type="cellIs" dxfId="79" priority="56" operator="greaterThan">
      <formula>0</formula>
    </cfRule>
    <cfRule type="cellIs" dxfId="78" priority="57" operator="equal">
      <formula>0</formula>
    </cfRule>
  </conditionalFormatting>
  <conditionalFormatting sqref="G109">
    <cfRule type="cellIs" dxfId="77" priority="52" operator="lessThan">
      <formula>0</formula>
    </cfRule>
    <cfRule type="cellIs" dxfId="76" priority="53" operator="greaterThan">
      <formula>0</formula>
    </cfRule>
    <cfRule type="cellIs" dxfId="75" priority="54" operator="equal">
      <formula>0</formula>
    </cfRule>
  </conditionalFormatting>
  <conditionalFormatting sqref="G148">
    <cfRule type="cellIs" dxfId="74" priority="49" operator="lessThan">
      <formula>0</formula>
    </cfRule>
    <cfRule type="cellIs" dxfId="73" priority="50" operator="greaterThan">
      <formula>0</formula>
    </cfRule>
    <cfRule type="cellIs" dxfId="72" priority="51" operator="equal">
      <formula>0</formula>
    </cfRule>
  </conditionalFormatting>
  <conditionalFormatting sqref="G157">
    <cfRule type="cellIs" dxfId="71" priority="46" operator="lessThan">
      <formula>0</formula>
    </cfRule>
    <cfRule type="cellIs" dxfId="70" priority="47" operator="greaterThan">
      <formula>0</formula>
    </cfRule>
    <cfRule type="cellIs" dxfId="69" priority="48" operator="equal">
      <formula>0</formula>
    </cfRule>
  </conditionalFormatting>
  <conditionalFormatting sqref="G171">
    <cfRule type="cellIs" dxfId="68" priority="43" operator="lessThan">
      <formula>0</formula>
    </cfRule>
    <cfRule type="cellIs" dxfId="67" priority="44" operator="greaterThan">
      <formula>0</formula>
    </cfRule>
    <cfRule type="cellIs" dxfId="66" priority="45" operator="equal">
      <formula>0</formula>
    </cfRule>
  </conditionalFormatting>
  <conditionalFormatting sqref="G199">
    <cfRule type="cellIs" dxfId="65" priority="40" operator="lessThan">
      <formula>0</formula>
    </cfRule>
    <cfRule type="cellIs" dxfId="64" priority="41" operator="greaterThan">
      <formula>0</formula>
    </cfRule>
    <cfRule type="cellIs" dxfId="63" priority="42" operator="equal">
      <formula>0</formula>
    </cfRule>
  </conditionalFormatting>
  <conditionalFormatting sqref="G205">
    <cfRule type="cellIs" dxfId="62" priority="37" operator="lessThan">
      <formula>0</formula>
    </cfRule>
    <cfRule type="cellIs" dxfId="61" priority="38" operator="greaterThan">
      <formula>0</formula>
    </cfRule>
    <cfRule type="cellIs" dxfId="60" priority="39" operator="equal">
      <formula>0</formula>
    </cfRule>
  </conditionalFormatting>
  <conditionalFormatting sqref="G209">
    <cfRule type="cellIs" dxfId="59" priority="34" operator="lessThan">
      <formula>0</formula>
    </cfRule>
    <cfRule type="cellIs" dxfId="58" priority="35" operator="greaterThan">
      <formula>0</formula>
    </cfRule>
    <cfRule type="cellIs" dxfId="57" priority="36" operator="equal">
      <formula>0</formula>
    </cfRule>
  </conditionalFormatting>
  <conditionalFormatting sqref="G242">
    <cfRule type="cellIs" dxfId="56" priority="31" operator="lessThan">
      <formula>0</formula>
    </cfRule>
    <cfRule type="cellIs" dxfId="55" priority="32" operator="greaterThan">
      <formula>0</formula>
    </cfRule>
    <cfRule type="cellIs" dxfId="54" priority="33" operator="equal">
      <formula>0</formula>
    </cfRule>
  </conditionalFormatting>
  <conditionalFormatting sqref="G246">
    <cfRule type="cellIs" dxfId="53" priority="28" operator="lessThan">
      <formula>0</formula>
    </cfRule>
    <cfRule type="cellIs" dxfId="52" priority="29" operator="greaterThan">
      <formula>0</formula>
    </cfRule>
    <cfRule type="cellIs" dxfId="51" priority="30" operator="equal">
      <formula>0</formula>
    </cfRule>
  </conditionalFormatting>
  <conditionalFormatting sqref="G266">
    <cfRule type="cellIs" dxfId="50" priority="25" operator="lessThan">
      <formula>0</formula>
    </cfRule>
    <cfRule type="cellIs" dxfId="49" priority="26" operator="greaterThan">
      <formula>0</formula>
    </cfRule>
    <cfRule type="cellIs" dxfId="48" priority="27" operator="equal">
      <formula>0</formula>
    </cfRule>
  </conditionalFormatting>
  <conditionalFormatting sqref="G342">
    <cfRule type="cellIs" dxfId="47" priority="22" operator="lessThan">
      <formula>0</formula>
    </cfRule>
    <cfRule type="cellIs" dxfId="46" priority="23" operator="greaterThan">
      <formula>0</formula>
    </cfRule>
    <cfRule type="cellIs" dxfId="45" priority="24" operator="equal">
      <formula>0</formula>
    </cfRule>
  </conditionalFormatting>
  <conditionalFormatting sqref="G363">
    <cfRule type="cellIs" dxfId="44" priority="19" operator="lessThan">
      <formula>0</formula>
    </cfRule>
    <cfRule type="cellIs" dxfId="43" priority="20" operator="greaterThan">
      <formula>0</formula>
    </cfRule>
    <cfRule type="cellIs" dxfId="42" priority="21" operator="equal">
      <formula>0</formula>
    </cfRule>
  </conditionalFormatting>
  <conditionalFormatting sqref="G371">
    <cfRule type="cellIs" dxfId="41" priority="16" operator="lessThan">
      <formula>0</formula>
    </cfRule>
    <cfRule type="cellIs" dxfId="40" priority="17" operator="greaterThan">
      <formula>0</formula>
    </cfRule>
    <cfRule type="cellIs" dxfId="39" priority="18" operator="equal">
      <formula>0</formula>
    </cfRule>
  </conditionalFormatting>
  <conditionalFormatting sqref="G375">
    <cfRule type="cellIs" dxfId="38" priority="13" operator="lessThan">
      <formula>0</formula>
    </cfRule>
    <cfRule type="cellIs" dxfId="37" priority="14" operator="greaterThan">
      <formula>0</formula>
    </cfRule>
    <cfRule type="cellIs" dxfId="36" priority="15" operator="equal">
      <formula>0</formula>
    </cfRule>
  </conditionalFormatting>
  <conditionalFormatting sqref="G383">
    <cfRule type="cellIs" dxfId="35" priority="10" operator="lessThan">
      <formula>0</formula>
    </cfRule>
    <cfRule type="cellIs" dxfId="34" priority="11" operator="greaterThan">
      <formula>0</formula>
    </cfRule>
    <cfRule type="cellIs" dxfId="33" priority="12" operator="equal">
      <formula>0</formula>
    </cfRule>
  </conditionalFormatting>
  <conditionalFormatting sqref="G389">
    <cfRule type="cellIs" dxfId="32" priority="7" operator="lessThan">
      <formula>0</formula>
    </cfRule>
    <cfRule type="cellIs" dxfId="31" priority="8" operator="greaterThan">
      <formula>0</formula>
    </cfRule>
    <cfRule type="cellIs" dxfId="30" priority="9" operator="equal">
      <formula>0</formula>
    </cfRule>
  </conditionalFormatting>
  <conditionalFormatting sqref="H2:H1048576 I89:J89 I109:J109 I148:J148 I157:J157 I171:J171 I205:J205 I209:J209 I246:J246 I342:J342 I363:J363 I371:J371 I375:J375 I383:J383 I387:J387 I389:J389">
    <cfRule type="expression" dxfId="29" priority="74">
      <formula>H2&lt;K2</formula>
    </cfRule>
    <cfRule type="expression" dxfId="28" priority="75">
      <formula>H2&gt;K2</formula>
    </cfRule>
    <cfRule type="expression" dxfId="27" priority="76">
      <formula>H2=K2</formula>
    </cfRule>
  </conditionalFormatting>
  <printOptions horizontalCentered="1"/>
  <pageMargins left="0.45" right="0.45" top="0.6" bottom="0.25" header="0.3" footer="0"/>
  <pageSetup scale="65" fitToHeight="0" orientation="landscape" r:id="rId1"/>
  <headerFooter>
    <oddHeader>&amp;C&amp;"Calibri,Bold"&amp;20 2019 Budget Requested - Supplies, Services, Capital Expenditures</oddHeader>
  </headerFooter>
  <rowBreaks count="8" manualBreakCount="8">
    <brk id="40" max="9" man="1"/>
    <brk id="67" max="9" man="1"/>
    <brk id="110" max="9" man="1"/>
    <brk id="149" max="9" man="1"/>
    <brk id="172" max="9" man="1"/>
    <brk id="210" max="9" man="1"/>
    <brk id="247" max="9" man="1"/>
    <brk id="372" max="9" man="1"/>
  </rowBreaks>
  <ignoredErrors>
    <ignoredError sqref="H144" formula="1"/>
  </ignoredError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/>
  <dimension ref="A1:H24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H22" sqref="H22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2" style="861" bestFit="1" customWidth="1"/>
    <col min="4" max="4" width="17.84375" style="861" bestFit="1" customWidth="1"/>
    <col min="5" max="5" width="30.69140625" style="861" customWidth="1"/>
    <col min="6" max="6" width="10.15234375" style="861" bestFit="1" customWidth="1"/>
  </cols>
  <sheetData>
    <row r="1" spans="1:7" s="887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7" thickTop="1" x14ac:dyDescent="0.4">
      <c r="A2" s="854"/>
      <c r="B2" s="855"/>
      <c r="C2" s="854"/>
      <c r="D2" s="854"/>
      <c r="E2" s="854"/>
      <c r="F2" s="856"/>
    </row>
    <row r="3" spans="1:7" ht="14.6" x14ac:dyDescent="0.4">
      <c r="A3" s="854"/>
      <c r="B3" s="855"/>
      <c r="C3" s="854"/>
      <c r="D3" s="854"/>
      <c r="E3" s="854"/>
      <c r="F3" s="856"/>
    </row>
    <row r="4" spans="1:7" ht="14.6" x14ac:dyDescent="0.4">
      <c r="A4" s="854" t="s">
        <v>576</v>
      </c>
      <c r="B4" s="855">
        <v>43566</v>
      </c>
      <c r="C4" s="854" t="s">
        <v>1656</v>
      </c>
      <c r="D4" s="854" t="s">
        <v>594</v>
      </c>
      <c r="E4" s="854" t="s">
        <v>1659</v>
      </c>
      <c r="F4" s="856">
        <v>1965.68</v>
      </c>
    </row>
    <row r="5" spans="1:7" ht="14.6" x14ac:dyDescent="0.4">
      <c r="A5" s="854" t="s">
        <v>576</v>
      </c>
      <c r="B5" s="855">
        <v>43566</v>
      </c>
      <c r="C5" s="854" t="s">
        <v>1656</v>
      </c>
      <c r="D5" s="854" t="s">
        <v>594</v>
      </c>
      <c r="E5" s="854" t="s">
        <v>1660</v>
      </c>
      <c r="F5" s="856">
        <v>149.99</v>
      </c>
    </row>
    <row r="6" spans="1:7" ht="14.6" x14ac:dyDescent="0.4">
      <c r="A6" s="854" t="s">
        <v>576</v>
      </c>
      <c r="B6" s="855">
        <v>43566</v>
      </c>
      <c r="C6" s="854" t="s">
        <v>1656</v>
      </c>
      <c r="D6" s="854" t="s">
        <v>594</v>
      </c>
      <c r="E6" s="854" t="s">
        <v>1661</v>
      </c>
      <c r="F6" s="856">
        <v>199.98</v>
      </c>
    </row>
    <row r="7" spans="1:7" ht="14.6" x14ac:dyDescent="0.4">
      <c r="A7" s="854" t="s">
        <v>576</v>
      </c>
      <c r="B7" s="855">
        <v>43566</v>
      </c>
      <c r="C7" s="854" t="s">
        <v>1656</v>
      </c>
      <c r="D7" s="854" t="s">
        <v>594</v>
      </c>
      <c r="E7" s="854" t="s">
        <v>1662</v>
      </c>
      <c r="F7" s="856">
        <v>4251.12</v>
      </c>
    </row>
    <row r="8" spans="1:7" ht="14.6" x14ac:dyDescent="0.4">
      <c r="A8" s="854" t="s">
        <v>576</v>
      </c>
      <c r="B8" s="855">
        <v>43566</v>
      </c>
      <c r="C8" s="854" t="s">
        <v>1656</v>
      </c>
      <c r="D8" s="854" t="s">
        <v>594</v>
      </c>
      <c r="E8" s="854" t="s">
        <v>1663</v>
      </c>
      <c r="F8" s="856">
        <v>691.98</v>
      </c>
    </row>
    <row r="9" spans="1:7" ht="14.6" x14ac:dyDescent="0.4">
      <c r="A9" s="854" t="s">
        <v>576</v>
      </c>
      <c r="B9" s="855">
        <v>43586</v>
      </c>
      <c r="C9" s="854" t="s">
        <v>1657</v>
      </c>
      <c r="D9" s="854" t="s">
        <v>1095</v>
      </c>
      <c r="E9" s="854" t="s">
        <v>1553</v>
      </c>
      <c r="F9" s="856">
        <v>2248</v>
      </c>
    </row>
    <row r="10" spans="1:7" ht="14.6" x14ac:dyDescent="0.4">
      <c r="A10" s="854" t="s">
        <v>576</v>
      </c>
      <c r="B10" s="855">
        <v>43598</v>
      </c>
      <c r="C10" s="854" t="s">
        <v>1658</v>
      </c>
      <c r="D10" s="854" t="s">
        <v>1095</v>
      </c>
      <c r="E10" s="854" t="s">
        <v>1664</v>
      </c>
      <c r="F10" s="856">
        <v>13700</v>
      </c>
    </row>
    <row r="11" spans="1:7" ht="14.6" x14ac:dyDescent="0.4">
      <c r="A11" s="854" t="s">
        <v>576</v>
      </c>
      <c r="B11" s="855">
        <v>43615</v>
      </c>
      <c r="C11" s="854" t="s">
        <v>1884</v>
      </c>
      <c r="D11" s="854" t="s">
        <v>670</v>
      </c>
      <c r="E11" s="854" t="s">
        <v>1886</v>
      </c>
      <c r="G11" s="856">
        <v>49793.43</v>
      </c>
    </row>
    <row r="12" spans="1:7" ht="14.6" x14ac:dyDescent="0.4">
      <c r="A12" s="854" t="s">
        <v>576</v>
      </c>
      <c r="B12" s="855">
        <v>43637</v>
      </c>
      <c r="C12" s="854" t="s">
        <v>1885</v>
      </c>
      <c r="D12" s="854" t="s">
        <v>670</v>
      </c>
      <c r="E12" s="854" t="s">
        <v>1887</v>
      </c>
      <c r="G12" s="856">
        <v>49378</v>
      </c>
    </row>
    <row r="13" spans="1:7" ht="14.6" x14ac:dyDescent="0.4">
      <c r="A13" s="854" t="s">
        <v>576</v>
      </c>
      <c r="B13" s="855">
        <v>43759</v>
      </c>
      <c r="C13" s="854" t="s">
        <v>2771</v>
      </c>
      <c r="D13" s="854" t="s">
        <v>1095</v>
      </c>
      <c r="E13" s="854" t="s">
        <v>2773</v>
      </c>
      <c r="F13" s="856">
        <v>7049.97</v>
      </c>
    </row>
    <row r="14" spans="1:7" ht="14.6" x14ac:dyDescent="0.4">
      <c r="A14" s="854" t="s">
        <v>576</v>
      </c>
      <c r="B14" s="855">
        <v>43759</v>
      </c>
      <c r="C14" s="854" t="s">
        <v>2771</v>
      </c>
      <c r="D14" s="854" t="s">
        <v>1095</v>
      </c>
      <c r="E14" s="854" t="s">
        <v>2774</v>
      </c>
      <c r="F14" s="856">
        <v>0</v>
      </c>
    </row>
    <row r="15" spans="1:7" ht="14.6" x14ac:dyDescent="0.4">
      <c r="A15" s="854" t="s">
        <v>576</v>
      </c>
      <c r="B15" s="855">
        <v>43759</v>
      </c>
      <c r="C15" s="854" t="s">
        <v>2772</v>
      </c>
      <c r="D15" s="854" t="s">
        <v>1095</v>
      </c>
      <c r="E15" s="854" t="s">
        <v>2774</v>
      </c>
      <c r="F15" s="856">
        <v>5432.38</v>
      </c>
    </row>
    <row r="16" spans="1:7" ht="14.6" x14ac:dyDescent="0.4">
      <c r="A16" s="854" t="s">
        <v>576</v>
      </c>
      <c r="B16" s="855">
        <v>43759</v>
      </c>
      <c r="C16" s="854" t="s">
        <v>3008</v>
      </c>
      <c r="D16" s="854" t="s">
        <v>670</v>
      </c>
      <c r="E16" s="854" t="s">
        <v>3011</v>
      </c>
      <c r="F16" s="856">
        <v>199</v>
      </c>
    </row>
    <row r="17" spans="1:8" ht="14.6" x14ac:dyDescent="0.4">
      <c r="A17" s="854" t="s">
        <v>576</v>
      </c>
      <c r="B17" s="855">
        <v>43760</v>
      </c>
      <c r="C17" s="854" t="s">
        <v>2994</v>
      </c>
      <c r="D17" s="854" t="s">
        <v>670</v>
      </c>
      <c r="E17" s="854" t="s">
        <v>3012</v>
      </c>
      <c r="F17" s="856">
        <v>15687.83</v>
      </c>
    </row>
    <row r="18" spans="1:8" ht="14.6" x14ac:dyDescent="0.4">
      <c r="A18" s="854" t="s">
        <v>575</v>
      </c>
      <c r="B18" s="855">
        <v>43774</v>
      </c>
      <c r="C18" s="854" t="s">
        <v>3009</v>
      </c>
      <c r="D18" s="854" t="s">
        <v>3010</v>
      </c>
      <c r="E18" s="854" t="s">
        <v>3013</v>
      </c>
      <c r="F18" s="856">
        <v>1788</v>
      </c>
    </row>
    <row r="19" spans="1:8" ht="14.6" x14ac:dyDescent="0.4">
      <c r="A19" s="854" t="s">
        <v>575</v>
      </c>
      <c r="B19" s="855">
        <v>43774</v>
      </c>
      <c r="C19" s="854" t="s">
        <v>3009</v>
      </c>
      <c r="D19" s="854" t="s">
        <v>3010</v>
      </c>
      <c r="E19" s="854" t="s">
        <v>3014</v>
      </c>
      <c r="F19" s="856">
        <v>144</v>
      </c>
    </row>
    <row r="20" spans="1:8" ht="15" customHeight="1" thickBot="1" x14ac:dyDescent="0.45">
      <c r="A20" s="854" t="s">
        <v>575</v>
      </c>
      <c r="B20" s="855">
        <v>43774</v>
      </c>
      <c r="C20" s="854" t="s">
        <v>3009</v>
      </c>
      <c r="D20" s="854" t="s">
        <v>3010</v>
      </c>
      <c r="E20" s="854" t="s">
        <v>3015</v>
      </c>
      <c r="F20" s="857">
        <v>-19.32</v>
      </c>
    </row>
    <row r="21" spans="1:8" ht="15" customHeight="1" thickBot="1" x14ac:dyDescent="0.45">
      <c r="A21" s="854"/>
      <c r="B21" s="855"/>
      <c r="C21" s="854"/>
      <c r="D21" s="854"/>
      <c r="E21" s="854"/>
      <c r="F21" s="858">
        <f>ROUND(SUM(F3:F20),5)</f>
        <v>53488.61</v>
      </c>
      <c r="G21">
        <f>SUM(G4:G20)</f>
        <v>99171.43</v>
      </c>
      <c r="H21" s="856">
        <f>SUM(F21:G21)</f>
        <v>152660.03999999998</v>
      </c>
    </row>
    <row r="22" spans="1:8" ht="15" customHeight="1" thickBot="1" x14ac:dyDescent="0.45">
      <c r="A22" s="854"/>
      <c r="B22" s="855"/>
      <c r="C22" s="854"/>
      <c r="D22" s="854"/>
      <c r="E22" s="854"/>
      <c r="F22" s="858">
        <f>F21</f>
        <v>53488.61</v>
      </c>
    </row>
    <row r="23" spans="1:8" ht="15" customHeight="1" thickBot="1" x14ac:dyDescent="0.45">
      <c r="A23" s="854"/>
      <c r="B23" s="855"/>
      <c r="C23" s="854"/>
      <c r="D23" s="854"/>
      <c r="E23" s="854"/>
      <c r="F23" s="859">
        <f>F22</f>
        <v>53488.61</v>
      </c>
    </row>
    <row r="24" spans="1:8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11:33 AM
&amp;"Arial,Bold"&amp;8 12/06/19
&amp;"Arial,Bold"&amp;8 Accrual Basis&amp;C&amp;"Arial,Bold"&amp;12 Williamson Central Appraisal District
&amp;"Arial,Bold"&amp;14 Account QuickReport
&amp;"Arial,Bold"&amp;10 January 1 through December 6,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608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46089" r:id="rId4" name="FILTER"/>
      </mc:Fallback>
    </mc:AlternateContent>
    <mc:AlternateContent xmlns:mc="http://schemas.openxmlformats.org/markup-compatibility/2006">
      <mc:Choice Requires="x14">
        <control shapeId="4609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46090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K41"/>
  <sheetViews>
    <sheetView zoomScale="106" zoomScaleNormal="106" workbookViewId="0">
      <pane ySplit="1" topLeftCell="A2" activePane="bottomLeft" state="frozen"/>
      <selection activeCell="A12" sqref="A12"/>
      <selection pane="bottomLeft" activeCell="J1" sqref="J1"/>
    </sheetView>
  </sheetViews>
  <sheetFormatPr defaultColWidth="14.3828125" defaultRowHeight="15" customHeight="1" x14ac:dyDescent="0.4"/>
  <cols>
    <col min="1" max="1" width="19.53515625" customWidth="1"/>
    <col min="2" max="2" width="19.53515625" style="844" customWidth="1"/>
    <col min="3" max="3" width="60" customWidth="1"/>
    <col min="4" max="4" width="7.3046875" customWidth="1"/>
    <col min="5" max="5" width="11" customWidth="1"/>
    <col min="6" max="6" width="13.53515625" customWidth="1"/>
    <col min="7" max="7" width="13.15234375" bestFit="1" customWidth="1"/>
    <col min="8" max="8" width="12.3046875" bestFit="1" customWidth="1"/>
    <col min="9" max="9" width="13.3046875" customWidth="1"/>
    <col min="10" max="10" width="9.69140625" customWidth="1"/>
    <col min="11" max="18" width="13.3046875" customWidth="1"/>
    <col min="19" max="26" width="15.15234375" customWidth="1"/>
  </cols>
  <sheetData>
    <row r="1" spans="1:11" ht="52.5" customHeight="1" x14ac:dyDescent="0.4">
      <c r="A1" s="9" t="s">
        <v>70</v>
      </c>
      <c r="B1" s="851" t="s">
        <v>573</v>
      </c>
      <c r="C1" s="9" t="s">
        <v>13</v>
      </c>
      <c r="D1" s="92"/>
      <c r="E1" s="13" t="s">
        <v>65</v>
      </c>
      <c r="F1" s="13" t="s">
        <v>570</v>
      </c>
      <c r="G1" s="13" t="s">
        <v>14</v>
      </c>
      <c r="H1" s="13" t="s">
        <v>15</v>
      </c>
      <c r="I1" s="94" t="s">
        <v>9</v>
      </c>
      <c r="J1" s="3"/>
      <c r="K1" s="3"/>
    </row>
    <row r="2" spans="1:11" ht="19.5" customHeight="1" x14ac:dyDescent="0.5">
      <c r="A2" s="897" t="s">
        <v>72</v>
      </c>
      <c r="B2" s="900"/>
      <c r="C2" s="898"/>
      <c r="D2" s="898"/>
      <c r="E2" s="898"/>
      <c r="F2" s="898"/>
      <c r="G2" s="898"/>
      <c r="H2" s="898"/>
      <c r="I2" s="899"/>
      <c r="J2" s="96"/>
      <c r="K2" s="3"/>
    </row>
    <row r="3" spans="1:11" ht="30" customHeight="1" x14ac:dyDescent="0.4">
      <c r="A3" s="98" t="s">
        <v>73</v>
      </c>
      <c r="B3" s="98" t="str">
        <f>LEFT(A2,4)&amp;"-1"</f>
        <v>6310-1</v>
      </c>
      <c r="C3" s="99" t="s">
        <v>74</v>
      </c>
      <c r="D3" s="100">
        <v>3</v>
      </c>
      <c r="E3" s="102">
        <v>520</v>
      </c>
      <c r="F3" s="104">
        <f>(D3*E3)</f>
        <v>1560</v>
      </c>
      <c r="G3" s="157">
        <f ca="1">(-SUMIF(INDIRECT(LEFT($A$2,4)&amp;"!E3:E200"),"="&amp;B3&amp;" *",INDIRECT(LEFT($A$2,4)&amp;"!F3:F200")))</f>
        <v>-2822.5</v>
      </c>
      <c r="H3" s="157">
        <f ca="1">SUM(F3:G3)</f>
        <v>-1262.5</v>
      </c>
      <c r="I3" s="107">
        <v>2875</v>
      </c>
      <c r="J3" s="109"/>
      <c r="K3" s="3"/>
    </row>
    <row r="4" spans="1:11" ht="14.6" x14ac:dyDescent="0.4">
      <c r="A4" s="111"/>
      <c r="B4" s="831" t="str">
        <f>LEFT($B3,4)&amp;"-"&amp;VALUE(MID($B3,FIND("-",$B3)+1,256))+1</f>
        <v>6310-2</v>
      </c>
      <c r="C4" s="113" t="s">
        <v>78</v>
      </c>
      <c r="D4" s="115">
        <v>0</v>
      </c>
      <c r="E4" s="116">
        <v>155</v>
      </c>
      <c r="F4" s="120">
        <f t="shared" ref="F4:F7" si="0">(D4*E4)*70</f>
        <v>0</v>
      </c>
      <c r="G4" s="416">
        <f t="shared" ref="G4:G8" ca="1" si="1">(-SUMIF(INDIRECT(LEFT($A$2,4)&amp;"!E3:E200"),"="&amp;B4&amp;" *",INDIRECT(LEFT($A$2,4)&amp;"!F3:F200")))</f>
        <v>-17437.5</v>
      </c>
      <c r="H4" s="113">
        <f t="shared" ref="H4" ca="1" si="2">SUM(F4:G4)</f>
        <v>-17437.5</v>
      </c>
      <c r="I4" s="122">
        <v>43400</v>
      </c>
      <c r="J4" s="96"/>
      <c r="K4" s="3"/>
    </row>
    <row r="5" spans="1:11" ht="14.6" x14ac:dyDescent="0.4">
      <c r="A5" s="124"/>
      <c r="B5" s="832" t="str">
        <f t="shared" ref="B5:B8" si="3">LEFT($B4,4)&amp;"-"&amp;VALUE(MID($B4,FIND("-",$B4)+1,256))+1</f>
        <v>6310-3</v>
      </c>
      <c r="C5" s="90" t="s">
        <v>82</v>
      </c>
      <c r="D5" s="126">
        <v>7</v>
      </c>
      <c r="E5" s="88">
        <v>170</v>
      </c>
      <c r="F5" s="104">
        <f t="shared" si="0"/>
        <v>83300</v>
      </c>
      <c r="G5" s="157">
        <f t="shared" ca="1" si="1"/>
        <v>-67065</v>
      </c>
      <c r="H5" s="397">
        <f t="shared" ref="H5:H6" ca="1" si="4">SUM(F5:G5)</f>
        <v>16235</v>
      </c>
      <c r="I5" s="107">
        <v>71400</v>
      </c>
      <c r="J5" s="96"/>
      <c r="K5" s="3"/>
    </row>
    <row r="6" spans="1:11" ht="14.6" x14ac:dyDescent="0.4">
      <c r="A6" s="111"/>
      <c r="B6" s="831" t="str">
        <f t="shared" si="3"/>
        <v>6310-4</v>
      </c>
      <c r="C6" s="113" t="s">
        <v>84</v>
      </c>
      <c r="D6" s="115">
        <v>5</v>
      </c>
      <c r="E6" s="116">
        <v>195</v>
      </c>
      <c r="F6" s="120">
        <f t="shared" si="0"/>
        <v>68250</v>
      </c>
      <c r="G6" s="416">
        <f t="shared" ca="1" si="1"/>
        <v>-37537.5</v>
      </c>
      <c r="H6" s="113">
        <f t="shared" ca="1" si="4"/>
        <v>30712.5</v>
      </c>
      <c r="I6" s="122">
        <v>13650</v>
      </c>
      <c r="J6" s="96"/>
      <c r="K6" s="3"/>
    </row>
    <row r="7" spans="1:11" ht="14.6" x14ac:dyDescent="0.4">
      <c r="A7" s="124"/>
      <c r="B7" s="832" t="str">
        <f t="shared" si="3"/>
        <v>6310-5</v>
      </c>
      <c r="C7" s="90" t="s">
        <v>574</v>
      </c>
      <c r="D7" s="126">
        <v>1</v>
      </c>
      <c r="E7" s="88">
        <v>220</v>
      </c>
      <c r="F7" s="104">
        <f t="shared" si="0"/>
        <v>15400</v>
      </c>
      <c r="G7" s="157">
        <f t="shared" ca="1" si="1"/>
        <v>-13499.78</v>
      </c>
      <c r="H7" s="397">
        <f t="shared" ref="H7:H8" ca="1" si="5">SUM(F7:G7)</f>
        <v>1900.2199999999993</v>
      </c>
      <c r="I7" s="107">
        <v>30800</v>
      </c>
      <c r="J7" s="96"/>
      <c r="K7" s="3"/>
    </row>
    <row r="8" spans="1:11" ht="14.6" x14ac:dyDescent="0.4">
      <c r="A8" s="111"/>
      <c r="B8" s="831" t="str">
        <f t="shared" si="3"/>
        <v>6310-6</v>
      </c>
      <c r="C8" s="113" t="s">
        <v>88</v>
      </c>
      <c r="D8" s="129"/>
      <c r="E8" s="116">
        <v>30</v>
      </c>
      <c r="F8" s="120">
        <f>E8*70</f>
        <v>2100</v>
      </c>
      <c r="G8" s="416">
        <f t="shared" ca="1" si="1"/>
        <v>-1935</v>
      </c>
      <c r="H8" s="113">
        <f t="shared" ca="1" si="5"/>
        <v>165</v>
      </c>
      <c r="I8" s="122">
        <v>2100</v>
      </c>
      <c r="J8" s="96"/>
      <c r="K8" s="3"/>
    </row>
    <row r="9" spans="1:11" ht="14.6" x14ac:dyDescent="0.4">
      <c r="A9" s="131"/>
      <c r="B9" s="852"/>
      <c r="C9" s="132" t="s">
        <v>71</v>
      </c>
      <c r="D9" s="133"/>
      <c r="E9" s="488">
        <f>(F9-I9)/I9</f>
        <v>3.8879585933932106E-2</v>
      </c>
      <c r="F9" s="140">
        <f>SUM(F3:F8)</f>
        <v>170610</v>
      </c>
      <c r="G9" s="140">
        <f t="shared" ref="G9:H9" ca="1" si="6">SUM(G3:G8)</f>
        <v>-140297.28</v>
      </c>
      <c r="H9" s="331">
        <f t="shared" ca="1" si="6"/>
        <v>30312.720000000001</v>
      </c>
      <c r="I9" s="141">
        <f>SUM(I3:I8)</f>
        <v>164225</v>
      </c>
      <c r="J9" s="96"/>
      <c r="K9" s="3"/>
    </row>
    <row r="10" spans="1:11" ht="15.75" customHeight="1" x14ac:dyDescent="0.4">
      <c r="A10" s="131"/>
      <c r="B10" s="852"/>
      <c r="C10" s="143"/>
      <c r="D10" s="145"/>
      <c r="E10" s="147"/>
      <c r="F10" s="149"/>
      <c r="G10" s="149"/>
      <c r="H10" s="149"/>
      <c r="I10" s="90"/>
      <c r="J10" s="96"/>
      <c r="K10" s="3"/>
    </row>
    <row r="11" spans="1:11" ht="19.5" customHeight="1" x14ac:dyDescent="0.5">
      <c r="A11" s="897" t="s">
        <v>92</v>
      </c>
      <c r="B11" s="900"/>
      <c r="C11" s="898"/>
      <c r="D11" s="898"/>
      <c r="E11" s="898"/>
      <c r="F11" s="898"/>
      <c r="G11" s="898"/>
      <c r="H11" s="898"/>
      <c r="I11" s="899"/>
      <c r="J11" s="96"/>
      <c r="K11" s="3"/>
    </row>
    <row r="12" spans="1:11" ht="14.6" x14ac:dyDescent="0.4">
      <c r="A12" s="96"/>
      <c r="B12" s="865" t="str">
        <f>LEFT(A11,4)&amp;"-1"</f>
        <v>6320-1</v>
      </c>
      <c r="C12" s="90" t="s">
        <v>93</v>
      </c>
      <c r="D12" s="133"/>
      <c r="E12" s="107"/>
      <c r="F12" s="104">
        <v>1000</v>
      </c>
      <c r="G12" s="90">
        <f ca="1">(-SUMIF(INDIRECT(LEFT($A$11,4)&amp;"!E2:E200"),"="&amp;B12&amp;" *",INDIRECT(LEFT($A$11,4)&amp;"!F2:F200")))</f>
        <v>-187.07999999999998</v>
      </c>
      <c r="H12" s="90">
        <f ca="1">SUM(F12:G12)</f>
        <v>812.92000000000007</v>
      </c>
      <c r="I12" s="90">
        <v>1000</v>
      </c>
      <c r="J12" s="96"/>
      <c r="K12" s="3"/>
    </row>
    <row r="13" spans="1:11" ht="14.6" x14ac:dyDescent="0.4">
      <c r="A13" s="153"/>
      <c r="B13" s="866" t="str">
        <f>LEFT($B12,4)&amp;"-"&amp;VALUE(MID($B12,FIND("-",$B12)+1,256))+1</f>
        <v>6320-2</v>
      </c>
      <c r="C13" s="113" t="s">
        <v>97</v>
      </c>
      <c r="D13" s="155"/>
      <c r="E13" s="122"/>
      <c r="F13" s="120">
        <v>60</v>
      </c>
      <c r="G13" s="113">
        <f ca="1">(-SUMIF(INDIRECT(LEFT($A$11,4)&amp;"!E3:E200"),"="&amp;B13&amp;" *",INDIRECT(LEFT($A$11,4)&amp;"!F3:F200")))</f>
        <v>0</v>
      </c>
      <c r="H13" s="113">
        <f t="shared" ref="H13" ca="1" si="7">SUM(F13:G13)</f>
        <v>60</v>
      </c>
      <c r="I13" s="113">
        <v>60</v>
      </c>
      <c r="J13" s="96"/>
      <c r="K13" s="3"/>
    </row>
    <row r="14" spans="1:11" ht="14.6" x14ac:dyDescent="0.4">
      <c r="A14" s="131"/>
      <c r="B14" s="864"/>
      <c r="C14" s="132" t="s">
        <v>71</v>
      </c>
      <c r="D14" s="133"/>
      <c r="E14" s="488">
        <f>(F14-I14)/I14</f>
        <v>0</v>
      </c>
      <c r="F14" s="140">
        <f>SUM(F12:F13)</f>
        <v>1060</v>
      </c>
      <c r="G14" s="140">
        <f t="shared" ref="G14:H14" ca="1" si="8">SUM(G12:G13)</f>
        <v>-187.07999999999998</v>
      </c>
      <c r="H14" s="140">
        <f t="shared" ca="1" si="8"/>
        <v>872.92000000000007</v>
      </c>
      <c r="I14" s="141">
        <f>SUM(I12:I13)</f>
        <v>1060</v>
      </c>
      <c r="J14" s="96"/>
      <c r="K14" s="3"/>
    </row>
    <row r="15" spans="1:11" ht="15.75" customHeight="1" x14ac:dyDescent="0.4">
      <c r="A15" s="131"/>
      <c r="B15" s="852"/>
      <c r="C15" s="96"/>
      <c r="D15" s="145"/>
      <c r="E15" s="147"/>
      <c r="F15" s="96"/>
      <c r="G15" s="96"/>
      <c r="H15" s="96"/>
      <c r="I15" s="90"/>
      <c r="J15" s="96"/>
      <c r="K15" s="3"/>
    </row>
    <row r="16" spans="1:11" ht="19.5" customHeight="1" x14ac:dyDescent="0.5">
      <c r="A16" s="904" t="s">
        <v>556</v>
      </c>
      <c r="B16" s="905"/>
      <c r="C16" s="898"/>
      <c r="D16" s="898"/>
      <c r="E16" s="898"/>
      <c r="F16" s="898"/>
      <c r="G16" s="898"/>
      <c r="H16" s="898"/>
      <c r="I16" s="899"/>
      <c r="J16" s="96"/>
      <c r="K16" s="3"/>
    </row>
    <row r="17" spans="1:11" s="491" customFormat="1" ht="14.6" x14ac:dyDescent="0.4">
      <c r="A17" s="801"/>
      <c r="B17" s="832" t="str">
        <f>LEFT(A16,4)&amp;"-1"</f>
        <v>6330-1</v>
      </c>
      <c r="C17" s="802" t="s">
        <v>557</v>
      </c>
      <c r="D17" s="778">
        <v>1</v>
      </c>
      <c r="E17" s="779">
        <v>300</v>
      </c>
      <c r="F17" s="705">
        <f t="shared" ref="F17" si="9">D17*E17</f>
        <v>300</v>
      </c>
      <c r="G17" s="706">
        <f ca="1">(-SUMIF(INDIRECT(LEFT($A$16,4)&amp;"!E3:E200"),"="&amp;B17&amp;" *",INDIRECT(LEFT($A$16,4)&amp;"!F3:F200")))</f>
        <v>0</v>
      </c>
      <c r="H17" s="706">
        <f ca="1">SUM(F17:G17)</f>
        <v>300</v>
      </c>
      <c r="I17" s="397">
        <v>0</v>
      </c>
      <c r="J17" s="752"/>
      <c r="K17" s="433"/>
    </row>
    <row r="18" spans="1:11" ht="14.6" x14ac:dyDescent="0.4">
      <c r="A18" s="412"/>
      <c r="B18" s="412" t="str">
        <f>LEFT($B17,4)&amp;"-"&amp;VALUE(MID($B17,FIND("-",$B17)+1,256))+1</f>
        <v>6330-2</v>
      </c>
      <c r="C18" s="753" t="s">
        <v>100</v>
      </c>
      <c r="D18" s="473">
        <v>8000</v>
      </c>
      <c r="E18" s="421">
        <v>0.74</v>
      </c>
      <c r="F18" s="665">
        <f t="shared" ref="F18:F25" si="10">D18*E18</f>
        <v>5920</v>
      </c>
      <c r="G18" s="863">
        <f t="shared" ref="G18:G25" ca="1" si="11">(-SUMIF(INDIRECT(LEFT($A$16,4)&amp;"!E3:E200"),"="&amp;B18&amp;" *",INDIRECT(LEFT($A$16,4)&amp;"!F3:F200")))</f>
        <v>-13582.27</v>
      </c>
      <c r="H18" s="868">
        <f t="shared" ref="H18" ca="1" si="12">SUM(F18:G18)</f>
        <v>-7662.27</v>
      </c>
      <c r="I18" s="417">
        <v>5920</v>
      </c>
      <c r="J18" s="96"/>
      <c r="K18" s="3"/>
    </row>
    <row r="19" spans="1:11" s="491" customFormat="1" ht="14.6" x14ac:dyDescent="0.4">
      <c r="A19" s="392"/>
      <c r="B19" s="830" t="str">
        <f t="shared" ref="B19:B25" si="13">LEFT($B18,4)&amp;"-"&amp;VALUE(MID($B18,FIND("-",$B18)+1,256))+1</f>
        <v>6330-3</v>
      </c>
      <c r="C19" s="497" t="s">
        <v>102</v>
      </c>
      <c r="D19" s="749">
        <v>8</v>
      </c>
      <c r="E19" s="401">
        <v>140</v>
      </c>
      <c r="F19" s="705">
        <f t="shared" si="10"/>
        <v>1120</v>
      </c>
      <c r="G19" s="706">
        <f t="shared" ca="1" si="11"/>
        <v>-1055.47</v>
      </c>
      <c r="H19" s="869">
        <f t="shared" ref="H19:H20" ca="1" si="14">SUM(F19:G19)</f>
        <v>64.529999999999973</v>
      </c>
      <c r="I19" s="397">
        <v>1000</v>
      </c>
      <c r="J19" s="390"/>
      <c r="K19" s="433"/>
    </row>
    <row r="20" spans="1:11" s="491" customFormat="1" ht="14.6" x14ac:dyDescent="0.4">
      <c r="A20" s="412"/>
      <c r="B20" s="412" t="str">
        <f t="shared" si="13"/>
        <v>6330-4</v>
      </c>
      <c r="C20" s="754" t="s">
        <v>105</v>
      </c>
      <c r="D20" s="448">
        <v>2000</v>
      </c>
      <c r="E20" s="421">
        <v>3.92</v>
      </c>
      <c r="F20" s="665">
        <f t="shared" si="10"/>
        <v>7840</v>
      </c>
      <c r="G20" s="863">
        <f t="shared" ca="1" si="11"/>
        <v>0</v>
      </c>
      <c r="H20" s="868">
        <f t="shared" ca="1" si="14"/>
        <v>7840</v>
      </c>
      <c r="I20" s="417">
        <v>6096</v>
      </c>
      <c r="J20" s="751"/>
      <c r="K20" s="433"/>
    </row>
    <row r="21" spans="1:11" s="491" customFormat="1" ht="14.6" x14ac:dyDescent="0.4">
      <c r="A21" s="392"/>
      <c r="B21" s="830" t="str">
        <f t="shared" si="13"/>
        <v>6330-5</v>
      </c>
      <c r="C21" s="656" t="s">
        <v>106</v>
      </c>
      <c r="D21" s="444">
        <v>200</v>
      </c>
      <c r="E21" s="401">
        <v>0.5</v>
      </c>
      <c r="F21" s="705">
        <f t="shared" si="10"/>
        <v>100</v>
      </c>
      <c r="G21" s="706">
        <f t="shared" ca="1" si="11"/>
        <v>0</v>
      </c>
      <c r="H21" s="869">
        <f t="shared" ref="H21:H25" ca="1" si="15">SUM(F21:G21)</f>
        <v>100</v>
      </c>
      <c r="I21" s="397">
        <v>100</v>
      </c>
      <c r="J21" s="751"/>
      <c r="K21" s="433"/>
    </row>
    <row r="22" spans="1:11" s="491" customFormat="1" ht="14.6" x14ac:dyDescent="0.4">
      <c r="A22" s="412"/>
      <c r="B22" s="412" t="str">
        <f t="shared" si="13"/>
        <v>6330-6</v>
      </c>
      <c r="C22" s="754" t="s">
        <v>107</v>
      </c>
      <c r="D22" s="647">
        <v>300</v>
      </c>
      <c r="E22" s="421">
        <v>0.09</v>
      </c>
      <c r="F22" s="665">
        <f t="shared" si="10"/>
        <v>27</v>
      </c>
      <c r="G22" s="863">
        <f t="shared" ca="1" si="11"/>
        <v>0</v>
      </c>
      <c r="H22" s="868">
        <f t="shared" ca="1" si="15"/>
        <v>27</v>
      </c>
      <c r="I22" s="417">
        <v>30</v>
      </c>
      <c r="J22" s="751"/>
      <c r="K22" s="433"/>
    </row>
    <row r="23" spans="1:11" s="491" customFormat="1" ht="14.6" x14ac:dyDescent="0.4">
      <c r="A23" s="604"/>
      <c r="B23" s="830" t="str">
        <f t="shared" si="13"/>
        <v>6330-7</v>
      </c>
      <c r="C23" s="390" t="s">
        <v>108</v>
      </c>
      <c r="D23" s="500">
        <v>1</v>
      </c>
      <c r="E23" s="388">
        <v>900</v>
      </c>
      <c r="F23" s="750">
        <f t="shared" si="10"/>
        <v>900</v>
      </c>
      <c r="G23" s="706">
        <f t="shared" ca="1" si="11"/>
        <v>-364.6</v>
      </c>
      <c r="H23" s="869">
        <f t="shared" ca="1" si="15"/>
        <v>535.4</v>
      </c>
      <c r="I23" s="390">
        <v>900</v>
      </c>
      <c r="J23" s="752"/>
      <c r="K23" s="433"/>
    </row>
    <row r="24" spans="1:11" s="491" customFormat="1" ht="29.15" x14ac:dyDescent="0.4">
      <c r="A24" s="625"/>
      <c r="B24" s="412" t="str">
        <f t="shared" si="13"/>
        <v>6330-8</v>
      </c>
      <c r="C24" s="639" t="s">
        <v>109</v>
      </c>
      <c r="D24" s="453">
        <v>8000</v>
      </c>
      <c r="E24" s="755">
        <v>7.0000000000000007E-2</v>
      </c>
      <c r="F24" s="756">
        <f t="shared" si="10"/>
        <v>560</v>
      </c>
      <c r="G24" s="863">
        <f t="shared" ca="1" si="11"/>
        <v>0</v>
      </c>
      <c r="H24" s="868">
        <f t="shared" ca="1" si="15"/>
        <v>560</v>
      </c>
      <c r="I24" s="578">
        <v>560</v>
      </c>
      <c r="J24" s="752"/>
      <c r="K24" s="433"/>
    </row>
    <row r="25" spans="1:11" s="491" customFormat="1" ht="14.6" x14ac:dyDescent="0.4">
      <c r="A25" s="604"/>
      <c r="B25" s="830" t="str">
        <f t="shared" si="13"/>
        <v>6330-9</v>
      </c>
      <c r="C25" s="390" t="s">
        <v>110</v>
      </c>
      <c r="D25" s="500">
        <v>0</v>
      </c>
      <c r="E25" s="388">
        <v>20</v>
      </c>
      <c r="F25" s="750">
        <f t="shared" si="10"/>
        <v>0</v>
      </c>
      <c r="G25" s="706">
        <f t="shared" ca="1" si="11"/>
        <v>0</v>
      </c>
      <c r="H25" s="869">
        <f t="shared" ca="1" si="15"/>
        <v>0</v>
      </c>
      <c r="I25" s="390">
        <v>320</v>
      </c>
      <c r="J25" s="752"/>
      <c r="K25" s="433"/>
    </row>
    <row r="26" spans="1:11" ht="14.6" x14ac:dyDescent="0.4">
      <c r="A26" s="131"/>
      <c r="B26" s="852"/>
      <c r="C26" s="132" t="s">
        <v>71</v>
      </c>
      <c r="D26" s="133"/>
      <c r="E26" s="488">
        <f>(F26-I26)/I26</f>
        <v>0.12334181964357498</v>
      </c>
      <c r="F26" s="140">
        <f>SUM(F17:F25)</f>
        <v>16767</v>
      </c>
      <c r="G26" s="331">
        <f t="shared" ref="G26:H26" ca="1" si="16">SUM(G17:G25)</f>
        <v>-15002.34</v>
      </c>
      <c r="H26" s="140">
        <f t="shared" ca="1" si="16"/>
        <v>1764.6599999999994</v>
      </c>
      <c r="I26" s="141">
        <f>SUM(I18:I25)</f>
        <v>14926</v>
      </c>
      <c r="J26" s="96"/>
      <c r="K26" s="3"/>
    </row>
    <row r="27" spans="1:11" ht="15.75" customHeight="1" x14ac:dyDescent="0.4">
      <c r="A27" s="131"/>
      <c r="B27" s="852"/>
      <c r="C27" s="143"/>
      <c r="D27" s="145"/>
      <c r="E27" s="147"/>
      <c r="F27" s="149"/>
      <c r="G27" s="149"/>
      <c r="H27" s="149"/>
      <c r="I27" s="90"/>
      <c r="J27" s="96"/>
      <c r="K27" s="3"/>
    </row>
    <row r="28" spans="1:11" ht="19.5" customHeight="1" x14ac:dyDescent="0.5">
      <c r="A28" s="897" t="s">
        <v>112</v>
      </c>
      <c r="B28" s="900"/>
      <c r="C28" s="898"/>
      <c r="D28" s="898"/>
      <c r="E28" s="898"/>
      <c r="F28" s="898"/>
      <c r="G28" s="898"/>
      <c r="H28" s="898"/>
      <c r="I28" s="899"/>
      <c r="J28" s="96"/>
      <c r="K28" s="3"/>
    </row>
    <row r="29" spans="1:11" ht="14.6" x14ac:dyDescent="0.4">
      <c r="A29" s="96"/>
      <c r="B29" s="865" t="str">
        <f>LEFT(A28,4)&amp;"-1"</f>
        <v>6340-1</v>
      </c>
      <c r="C29" s="90" t="s">
        <v>113</v>
      </c>
      <c r="D29" s="126">
        <v>16</v>
      </c>
      <c r="E29" s="88">
        <v>120</v>
      </c>
      <c r="F29" s="104">
        <v>1920</v>
      </c>
      <c r="G29" s="90">
        <f ca="1">(-SUMIF(INDIRECT(LEFT($A$28,4)&amp;"!E3:E200"),"="&amp;B29&amp;" *",INDIRECT(LEFT($A$28,4)&amp;"!F3:F200")))</f>
        <v>-1366.1499999999999</v>
      </c>
      <c r="H29" s="90">
        <f ca="1">SUM(F29:G29)</f>
        <v>553.85000000000014</v>
      </c>
      <c r="I29" s="90">
        <v>1920</v>
      </c>
      <c r="J29" s="96"/>
      <c r="K29" s="3"/>
    </row>
    <row r="30" spans="1:11" ht="14.6" x14ac:dyDescent="0.4">
      <c r="A30" s="153"/>
      <c r="B30" s="866" t="str">
        <f>LEFT($B29,4)&amp;"-"&amp;VALUE(MID($B29,FIND("-",$B29)+1,256))+1</f>
        <v>6340-2</v>
      </c>
      <c r="C30" s="185" t="s">
        <v>114</v>
      </c>
      <c r="D30" s="129">
        <v>16</v>
      </c>
      <c r="E30" s="116">
        <v>120</v>
      </c>
      <c r="F30" s="120">
        <v>1920</v>
      </c>
      <c r="G30" s="150">
        <f ca="1">(-SUMIF(INDIRECT(LEFT($A$28,4)&amp;"!E3:E200"),"="&amp;B30&amp;" *",INDIRECT(LEFT($A$28,4)&amp;"!F3:F200")))</f>
        <v>-1389.8899999999999</v>
      </c>
      <c r="H30" s="113">
        <f t="shared" ref="H30" ca="1" si="17">SUM(F30:G30)</f>
        <v>530.11000000000013</v>
      </c>
      <c r="I30" s="113">
        <v>1920</v>
      </c>
      <c r="J30" s="96"/>
      <c r="K30" s="3"/>
    </row>
    <row r="31" spans="1:11" ht="14.6" x14ac:dyDescent="0.4">
      <c r="A31" s="131"/>
      <c r="B31" s="852"/>
      <c r="C31" s="132" t="s">
        <v>71</v>
      </c>
      <c r="D31" s="133"/>
      <c r="E31" s="488">
        <f>(F31-I31)/I31</f>
        <v>0</v>
      </c>
      <c r="F31" s="140">
        <f>SUM(F29:F30)</f>
        <v>3840</v>
      </c>
      <c r="G31" s="140">
        <f t="shared" ref="G31:H31" ca="1" si="18">SUM(G29:G30)</f>
        <v>-2756.04</v>
      </c>
      <c r="H31" s="140">
        <f t="shared" ca="1" si="18"/>
        <v>1083.9600000000003</v>
      </c>
      <c r="I31" s="188">
        <v>3840</v>
      </c>
      <c r="J31" s="96"/>
      <c r="K31" s="3"/>
    </row>
    <row r="32" spans="1:11" ht="15.75" customHeight="1" x14ac:dyDescent="0.4">
      <c r="A32" s="131"/>
      <c r="B32" s="852"/>
      <c r="C32" s="143"/>
      <c r="D32" s="145"/>
      <c r="E32" s="147"/>
      <c r="F32" s="149"/>
      <c r="G32" s="149"/>
      <c r="H32" s="149"/>
      <c r="I32" s="90"/>
      <c r="J32" s="96"/>
      <c r="K32" s="3"/>
    </row>
    <row r="33" spans="1:11" ht="19.5" customHeight="1" x14ac:dyDescent="0.5">
      <c r="A33" s="897" t="s">
        <v>118</v>
      </c>
      <c r="B33" s="900"/>
      <c r="C33" s="898"/>
      <c r="D33" s="898"/>
      <c r="E33" s="898"/>
      <c r="F33" s="898"/>
      <c r="G33" s="898"/>
      <c r="H33" s="898"/>
      <c r="I33" s="899"/>
      <c r="J33" s="96"/>
      <c r="K33" s="3"/>
    </row>
    <row r="34" spans="1:11" ht="14.6" x14ac:dyDescent="0.4">
      <c r="A34" s="96"/>
      <c r="B34" s="865" t="str">
        <f>LEFT(A33,4)&amp;"-1"</f>
        <v>6350-1</v>
      </c>
      <c r="C34" s="90" t="s">
        <v>119</v>
      </c>
      <c r="D34" s="126">
        <v>1</v>
      </c>
      <c r="E34" s="107">
        <v>1500</v>
      </c>
      <c r="F34" s="104">
        <f t="shared" ref="F34:F35" si="19">SUM(D34*E34)</f>
        <v>1500</v>
      </c>
      <c r="G34" s="90">
        <f ca="1">(-SUMIF(INDIRECT(LEFT($A$33,4)&amp;"!E3:E200"),"="&amp;B34&amp;" *",INDIRECT(LEFT($A$33,4)&amp;"!F3:F200")))</f>
        <v>-1165.46</v>
      </c>
      <c r="H34" s="90">
        <f ca="1">SUM(F34:G34)</f>
        <v>334.53999999999996</v>
      </c>
      <c r="I34" s="90">
        <v>1500</v>
      </c>
      <c r="J34" s="96"/>
      <c r="K34" s="3"/>
    </row>
    <row r="35" spans="1:11" ht="14.6" x14ac:dyDescent="0.4">
      <c r="A35" s="707" t="s">
        <v>121</v>
      </c>
      <c r="B35" s="867" t="str">
        <f>LEFT($B34,4)&amp;"-"&amp;VALUE(MID($B34,FIND("-",$B34)+1,256))+1</f>
        <v>6350-2</v>
      </c>
      <c r="C35" s="449" t="s">
        <v>123</v>
      </c>
      <c r="D35" s="448">
        <v>1</v>
      </c>
      <c r="E35" s="421">
        <v>1500</v>
      </c>
      <c r="F35" s="665">
        <f t="shared" si="19"/>
        <v>1500</v>
      </c>
      <c r="G35" s="417">
        <f ca="1">(-SUMIF(INDIRECT(LEFT($A$33,4)&amp;"!E3:E200"),"="&amp;B35&amp;" *",INDIRECT(LEFT($A$33,4)&amp;"!F3:F200")))</f>
        <v>-1400</v>
      </c>
      <c r="H35" s="417">
        <f t="shared" ref="H35" ca="1" si="20">SUM(F35:G35)</f>
        <v>100</v>
      </c>
      <c r="I35" s="417">
        <v>1500</v>
      </c>
      <c r="J35" s="96"/>
      <c r="K35" s="3"/>
    </row>
    <row r="36" spans="1:11" ht="14.6" x14ac:dyDescent="0.4">
      <c r="A36" s="131"/>
      <c r="B36" s="852"/>
      <c r="C36" s="132" t="s">
        <v>71</v>
      </c>
      <c r="D36" s="195"/>
      <c r="E36" s="488">
        <f>(F36-I36)/I36</f>
        <v>0</v>
      </c>
      <c r="F36" s="140">
        <f>SUM(F34:F35)</f>
        <v>3000</v>
      </c>
      <c r="G36" s="140">
        <f t="shared" ref="G36:H36" ca="1" si="21">SUM(G34:G35)</f>
        <v>-2565.46</v>
      </c>
      <c r="H36" s="140">
        <f t="shared" ca="1" si="21"/>
        <v>434.53999999999996</v>
      </c>
      <c r="I36" s="141">
        <f>SUM(I34:I35)</f>
        <v>3000</v>
      </c>
      <c r="J36" s="96"/>
      <c r="K36" s="3"/>
    </row>
    <row r="37" spans="1:11" ht="14.6" x14ac:dyDescent="0.4">
      <c r="A37" s="3"/>
      <c r="B37" s="853"/>
      <c r="C37" s="3"/>
      <c r="D37" s="3"/>
      <c r="E37" s="3"/>
      <c r="F37" s="137"/>
      <c r="G37" s="137"/>
      <c r="H37" s="137"/>
      <c r="I37" s="137"/>
      <c r="J37" s="3"/>
      <c r="K37" s="3"/>
    </row>
    <row r="38" spans="1:11" ht="14.6" x14ac:dyDescent="0.4">
      <c r="A38" s="3"/>
      <c r="B38" s="853"/>
      <c r="C38" s="201" t="s">
        <v>124</v>
      </c>
      <c r="D38" s="3"/>
      <c r="E38" s="488">
        <f>SUM('3% Overview'!K33)</f>
        <v>4.3826830571886695E-2</v>
      </c>
      <c r="F38" s="205">
        <f>SUM(F36+F31+F26+F14+F9)</f>
        <v>195277</v>
      </c>
      <c r="G38" s="205">
        <f t="shared" ref="G38:H38" ca="1" si="22">SUM(G36+G31+G26+G14+G9)</f>
        <v>-160808.20000000001</v>
      </c>
      <c r="H38" s="205">
        <f t="shared" ca="1" si="22"/>
        <v>34468.800000000003</v>
      </c>
      <c r="I38" s="208">
        <f>SUM(I36+I31+I26+I14+I9)</f>
        <v>187051</v>
      </c>
      <c r="J38" s="3"/>
      <c r="K38" s="3"/>
    </row>
    <row r="39" spans="1:11" ht="15.75" customHeight="1" x14ac:dyDescent="0.4">
      <c r="A39" s="3"/>
      <c r="B39" s="853"/>
      <c r="C39" s="3"/>
      <c r="D39" s="3"/>
      <c r="E39" s="3"/>
      <c r="F39" s="3"/>
      <c r="G39" s="3"/>
      <c r="H39" s="3"/>
      <c r="I39" s="3"/>
      <c r="J39" s="3"/>
      <c r="K39" s="3"/>
    </row>
    <row r="40" spans="1:11" ht="14.6" x14ac:dyDescent="0.4">
      <c r="A40" s="3"/>
      <c r="B40" s="853"/>
      <c r="C40" s="3"/>
      <c r="D40" s="3"/>
      <c r="E40" s="3"/>
      <c r="F40" s="3"/>
      <c r="G40" s="3"/>
      <c r="H40" s="3"/>
      <c r="I40" s="3"/>
      <c r="J40" s="3"/>
      <c r="K40" s="3"/>
    </row>
    <row r="41" spans="1:11" ht="14.6" x14ac:dyDescent="0.4">
      <c r="A41" s="3"/>
      <c r="B41" s="853"/>
      <c r="C41" s="3"/>
      <c r="D41" s="3"/>
      <c r="E41" s="3"/>
      <c r="F41" s="3"/>
      <c r="G41" s="3"/>
      <c r="H41" s="3"/>
      <c r="I41" s="3"/>
      <c r="J41" s="3"/>
      <c r="K41" s="3"/>
    </row>
  </sheetData>
  <mergeCells count="5">
    <mergeCell ref="A2:I2"/>
    <mergeCell ref="A11:I11"/>
    <mergeCell ref="A16:I16"/>
    <mergeCell ref="A33:I33"/>
    <mergeCell ref="A28:I28"/>
  </mergeCells>
  <conditionalFormatting sqref="E9">
    <cfRule type="cellIs" dxfId="26" priority="16" operator="lessThan">
      <formula>0</formula>
    </cfRule>
    <cfRule type="cellIs" dxfId="25" priority="17" operator="greaterThan">
      <formula>0</formula>
    </cfRule>
    <cfRule type="cellIs" dxfId="24" priority="18" operator="equal">
      <formula>0</formula>
    </cfRule>
  </conditionalFormatting>
  <conditionalFormatting sqref="E14">
    <cfRule type="cellIs" dxfId="23" priority="13" operator="lessThan">
      <formula>0</formula>
    </cfRule>
    <cfRule type="cellIs" dxfId="22" priority="14" operator="greaterThan">
      <formula>0</formula>
    </cfRule>
    <cfRule type="cellIs" dxfId="21" priority="15" operator="equal">
      <formula>0</formula>
    </cfRule>
  </conditionalFormatting>
  <conditionalFormatting sqref="E26">
    <cfRule type="cellIs" dxfId="20" priority="10" operator="lessThan">
      <formula>0</formula>
    </cfRule>
    <cfRule type="cellIs" dxfId="19" priority="11" operator="greaterThan">
      <formula>0</formula>
    </cfRule>
    <cfRule type="cellIs" dxfId="18" priority="12" operator="equal">
      <formula>0</formula>
    </cfRule>
  </conditionalFormatting>
  <conditionalFormatting sqref="E31">
    <cfRule type="cellIs" dxfId="17" priority="7" operator="lessThan">
      <formula>0</formula>
    </cfRule>
    <cfRule type="cellIs" dxfId="16" priority="8" operator="greaterThan">
      <formula>0</formula>
    </cfRule>
    <cfRule type="cellIs" dxfId="15" priority="9" operator="equal">
      <formula>0</formula>
    </cfRule>
  </conditionalFormatting>
  <conditionalFormatting sqref="E36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equal">
      <formula>0</formula>
    </cfRule>
  </conditionalFormatting>
  <conditionalFormatting sqref="E38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equal">
      <formula>0</formula>
    </cfRule>
  </conditionalFormatting>
  <conditionalFormatting sqref="F2:F1048576">
    <cfRule type="expression" dxfId="8" priority="19">
      <formula>F2=I2</formula>
    </cfRule>
    <cfRule type="expression" dxfId="7" priority="20">
      <formula>F2&lt;I2</formula>
    </cfRule>
    <cfRule type="expression" dxfId="6" priority="21">
      <formula>F2&gt;I2</formula>
    </cfRule>
  </conditionalFormatting>
  <conditionalFormatting sqref="G9 G14 G26 G31 G36 G38">
    <cfRule type="expression" dxfId="5" priority="77">
      <formula>G9=#REF!</formula>
    </cfRule>
    <cfRule type="expression" dxfId="4" priority="78">
      <formula>G9&lt;#REF!</formula>
    </cfRule>
    <cfRule type="expression" dxfId="3" priority="79">
      <formula>G9&gt;#REF!</formula>
    </cfRule>
  </conditionalFormatting>
  <conditionalFormatting sqref="H9 H14 H26 H31 H36 H38">
    <cfRule type="expression" dxfId="2" priority="80">
      <formula>H9=J9</formula>
    </cfRule>
    <cfRule type="expression" dxfId="1" priority="81">
      <formula>H9&lt;J9</formula>
    </cfRule>
    <cfRule type="expression" dxfId="0" priority="82">
      <formula>H9&gt;J9</formula>
    </cfRule>
  </conditionalFormatting>
  <printOptions horizontalCentered="1"/>
  <pageMargins left="0.45" right="0.45" top="1" bottom="0.5" header="0.5" footer="0"/>
  <pageSetup orientation="landscape" r:id="rId1"/>
  <headerFooter>
    <oddHeader>&amp;C&amp;"Calibri,Bold"&amp;20 2019 Budget Requested - Appraisal Review Board (ARB)</oddHeader>
  </headerFooter>
  <rowBreaks count="1" manualBreakCount="1">
    <brk id="27" max="7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E9" sqref="E9"/>
    </sheetView>
  </sheetViews>
  <sheetFormatPr defaultColWidth="14.3828125" defaultRowHeight="15" customHeight="1" x14ac:dyDescent="0.4"/>
  <cols>
    <col min="1" max="1" width="9" customWidth="1"/>
    <col min="2" max="2" width="8.3828125" customWidth="1"/>
    <col min="3" max="3" width="13.53515625" customWidth="1"/>
    <col min="4" max="4" width="15" customWidth="1"/>
    <col min="5" max="5" width="8.15234375" customWidth="1"/>
    <col min="6" max="7" width="6.53515625" customWidth="1"/>
    <col min="8" max="8" width="10.53515625" customWidth="1"/>
    <col min="9" max="12" width="6.53515625" customWidth="1"/>
    <col min="13" max="13" width="17.3828125" customWidth="1"/>
    <col min="14" max="14" width="13" customWidth="1"/>
    <col min="15" max="15" width="8.15234375" customWidth="1"/>
    <col min="16" max="17" width="6.53515625" customWidth="1"/>
    <col min="18" max="25" width="13.3046875" customWidth="1"/>
    <col min="26" max="26" width="15.15234375" customWidth="1"/>
  </cols>
  <sheetData>
    <row r="1" spans="1:26" ht="15" customHeight="1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4">
      <c r="C3" s="260" t="s">
        <v>70</v>
      </c>
      <c r="D3" s="261" t="s">
        <v>163</v>
      </c>
      <c r="E3" s="262" t="s">
        <v>164</v>
      </c>
      <c r="F3" s="3"/>
      <c r="G3" s="3"/>
      <c r="H3" s="3"/>
      <c r="I3" s="3"/>
      <c r="J3" s="3"/>
      <c r="K3" s="3"/>
      <c r="L3" s="3"/>
      <c r="M3" s="906" t="s">
        <v>165</v>
      </c>
      <c r="N3" s="895"/>
      <c r="O3" s="895"/>
      <c r="P3" s="3"/>
      <c r="Q3" s="3"/>
    </row>
    <row r="4" spans="1:26" ht="15" customHeight="1" x14ac:dyDescent="0.4">
      <c r="C4" s="277" t="s">
        <v>18</v>
      </c>
      <c r="D4" s="279">
        <f>SUM('3% Overview'!J2:J7)</f>
        <v>6024200</v>
      </c>
      <c r="E4" s="281">
        <f t="shared" ref="E4:E8" si="0">D4/$D$9</f>
        <v>0.70372057706909641</v>
      </c>
      <c r="F4" s="3"/>
      <c r="G4" s="3"/>
      <c r="H4" s="3"/>
      <c r="I4" s="3"/>
      <c r="J4" s="3"/>
      <c r="K4" s="3"/>
      <c r="L4" s="3"/>
      <c r="M4" s="260" t="s">
        <v>70</v>
      </c>
      <c r="N4" s="261" t="s">
        <v>163</v>
      </c>
      <c r="O4" s="262" t="s">
        <v>164</v>
      </c>
      <c r="P4" s="3"/>
      <c r="Q4" s="3"/>
    </row>
    <row r="5" spans="1:26" ht="15" customHeight="1" x14ac:dyDescent="0.4">
      <c r="C5" s="308" t="s">
        <v>200</v>
      </c>
      <c r="D5" s="309">
        <f>SUM('3% Overview'!J8:J13)</f>
        <v>303200</v>
      </c>
      <c r="E5" s="310">
        <f t="shared" si="0"/>
        <v>3.5418491910519247E-2</v>
      </c>
      <c r="F5" s="3"/>
      <c r="G5" s="3"/>
      <c r="H5" s="3"/>
      <c r="I5" s="3"/>
      <c r="J5" s="3"/>
      <c r="K5" s="3"/>
      <c r="L5" s="3"/>
      <c r="M5" s="277" t="s">
        <v>274</v>
      </c>
      <c r="N5" s="279">
        <f>'ARB Budget'!F9</f>
        <v>170610</v>
      </c>
      <c r="O5" s="281">
        <f t="shared" ref="O5:O10" si="1">N5/$N$10</f>
        <v>0.87357910906298009</v>
      </c>
      <c r="P5" s="3"/>
      <c r="Q5" s="3"/>
    </row>
    <row r="6" spans="1:26" ht="15" customHeight="1" x14ac:dyDescent="0.4">
      <c r="C6" s="277" t="s">
        <v>40</v>
      </c>
      <c r="D6" s="279">
        <f>SUM('3% Overview'!J14:J26)</f>
        <v>1722500</v>
      </c>
      <c r="E6" s="281">
        <f t="shared" si="0"/>
        <v>0.20121488230827639</v>
      </c>
      <c r="F6" s="3"/>
      <c r="G6" s="3"/>
      <c r="H6" s="3"/>
      <c r="I6" s="3"/>
      <c r="J6" s="3"/>
      <c r="K6" s="3"/>
      <c r="L6" s="3"/>
      <c r="M6" s="308" t="s">
        <v>200</v>
      </c>
      <c r="N6" s="309">
        <f>'ARB Budget'!F14</f>
        <v>1060</v>
      </c>
      <c r="O6" s="310">
        <f t="shared" si="1"/>
        <v>5.427547363031234E-3</v>
      </c>
      <c r="P6" s="3"/>
      <c r="Q6" s="3"/>
    </row>
    <row r="7" spans="1:26" ht="15" customHeight="1" x14ac:dyDescent="0.4">
      <c r="C7" s="308" t="s">
        <v>53</v>
      </c>
      <c r="D7" s="309">
        <f>SUM('3% Overview'!J27)</f>
        <v>425600</v>
      </c>
      <c r="E7" s="310">
        <f t="shared" si="0"/>
        <v>4.9716722154079789E-2</v>
      </c>
      <c r="F7" s="3"/>
      <c r="G7" s="3"/>
      <c r="H7" s="3"/>
      <c r="I7" s="3"/>
      <c r="J7" s="3"/>
      <c r="K7" s="3"/>
      <c r="L7" s="3"/>
      <c r="M7" s="277" t="s">
        <v>278</v>
      </c>
      <c r="N7" s="279">
        <f>'ARB Budget'!F26</f>
        <v>16767</v>
      </c>
      <c r="O7" s="281">
        <f t="shared" si="1"/>
        <v>8.585253456221198E-2</v>
      </c>
      <c r="P7" s="3"/>
      <c r="Q7" s="3"/>
    </row>
    <row r="8" spans="1:26" ht="15" customHeight="1" x14ac:dyDescent="0.4">
      <c r="C8" s="277" t="s">
        <v>55</v>
      </c>
      <c r="D8" s="279">
        <f>SUM('3% Overview'!J28:J30)</f>
        <v>85000</v>
      </c>
      <c r="E8" s="281">
        <f t="shared" si="0"/>
        <v>9.9293265580281519E-3</v>
      </c>
      <c r="F8" s="3"/>
      <c r="G8" s="3"/>
      <c r="H8" s="3"/>
      <c r="I8" s="3"/>
      <c r="J8" s="3"/>
      <c r="K8" s="3"/>
      <c r="L8" s="3"/>
      <c r="M8" s="308" t="s">
        <v>279</v>
      </c>
      <c r="N8" s="309">
        <f>'ARB Budget'!F31</f>
        <v>3840</v>
      </c>
      <c r="O8" s="310">
        <f t="shared" si="1"/>
        <v>1.9662058371735791E-2</v>
      </c>
      <c r="P8" s="3"/>
      <c r="Q8" s="3"/>
    </row>
    <row r="9" spans="1:26" ht="15" customHeight="1" x14ac:dyDescent="0.4">
      <c r="C9" s="308" t="s">
        <v>280</v>
      </c>
      <c r="D9" s="309">
        <f t="shared" ref="D9:E9" si="2">SUM(D4:D8)</f>
        <v>8560500</v>
      </c>
      <c r="E9" s="310">
        <f t="shared" si="2"/>
        <v>0.99999999999999989</v>
      </c>
      <c r="F9" s="3"/>
      <c r="G9" s="3"/>
      <c r="H9" s="3"/>
      <c r="I9" s="3"/>
      <c r="J9" s="3"/>
      <c r="K9" s="3"/>
      <c r="L9" s="3"/>
      <c r="M9" s="277" t="s">
        <v>282</v>
      </c>
      <c r="N9" s="279">
        <f>'ARB Budget'!F36</f>
        <v>3000</v>
      </c>
      <c r="O9" s="281">
        <f t="shared" si="1"/>
        <v>1.5360983102918587E-2</v>
      </c>
      <c r="P9" s="3"/>
      <c r="Q9" s="3"/>
    </row>
    <row r="10" spans="1:26" ht="1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08" t="s">
        <v>280</v>
      </c>
      <c r="N10" s="309">
        <f>SUM(ROUNDUP(SUBTOTAL(109,N5:N9),-2))</f>
        <v>195300</v>
      </c>
      <c r="O10" s="310">
        <f t="shared" si="1"/>
        <v>1</v>
      </c>
      <c r="P10" s="3"/>
      <c r="Q10" s="3"/>
    </row>
    <row r="11" spans="1:26" ht="1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6" ht="1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6" ht="1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6" ht="1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6" ht="1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6" ht="1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4.6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4.6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4.6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4.6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4.6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4.6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4.6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4.6" x14ac:dyDescent="0.4">
      <c r="I25" s="3"/>
      <c r="J25" s="3"/>
    </row>
    <row r="26" spans="1:17" ht="14.6" x14ac:dyDescent="0.4">
      <c r="I26" s="3"/>
      <c r="J26" s="3"/>
    </row>
    <row r="27" spans="1:17" ht="14.6" x14ac:dyDescent="0.4">
      <c r="I27" s="3"/>
      <c r="J27" s="3"/>
    </row>
    <row r="28" spans="1:17" ht="14.6" x14ac:dyDescent="0.4">
      <c r="I28" s="3"/>
      <c r="J28" s="3"/>
    </row>
    <row r="29" spans="1:17" ht="14.6" x14ac:dyDescent="0.4">
      <c r="I29" s="3"/>
      <c r="J29" s="3"/>
    </row>
    <row r="30" spans="1:17" ht="14.6" x14ac:dyDescent="0.4">
      <c r="I30" s="3"/>
      <c r="J30" s="3"/>
    </row>
    <row r="31" spans="1:17" ht="14.6" x14ac:dyDescent="0.4">
      <c r="I31" s="3"/>
      <c r="J31" s="3"/>
    </row>
    <row r="32" spans="1:17" ht="14.6" x14ac:dyDescent="0.4">
      <c r="I32" s="3"/>
      <c r="J32" s="3"/>
    </row>
    <row r="33" spans="9:10" ht="14.6" x14ac:dyDescent="0.4">
      <c r="I33" s="3"/>
      <c r="J33" s="3"/>
    </row>
    <row r="34" spans="9:10" ht="14.6" x14ac:dyDescent="0.4">
      <c r="I34" s="3"/>
      <c r="J34" s="3"/>
    </row>
    <row r="35" spans="9:10" ht="14.6" x14ac:dyDescent="0.4">
      <c r="I35" s="3"/>
      <c r="J35" s="3"/>
    </row>
    <row r="36" spans="9:10" ht="14.6" x14ac:dyDescent="0.4">
      <c r="I36" s="3"/>
      <c r="J36" s="3"/>
    </row>
    <row r="37" spans="9:10" ht="14.6" x14ac:dyDescent="0.4">
      <c r="I37" s="3"/>
      <c r="J37" s="3"/>
    </row>
    <row r="38" spans="9:10" ht="14.6" x14ac:dyDescent="0.4">
      <c r="I38" s="3"/>
      <c r="J38" s="3"/>
    </row>
    <row r="39" spans="9:10" ht="14.6" x14ac:dyDescent="0.4">
      <c r="I39" s="3"/>
      <c r="J39" s="3"/>
    </row>
    <row r="40" spans="9:10" ht="14.6" x14ac:dyDescent="0.4">
      <c r="I40" s="3"/>
      <c r="J40" s="3"/>
    </row>
    <row r="41" spans="9:10" ht="14.6" x14ac:dyDescent="0.4">
      <c r="I41" s="3"/>
      <c r="J41" s="3"/>
    </row>
    <row r="42" spans="9:10" ht="14.6" x14ac:dyDescent="0.4">
      <c r="I42" s="3"/>
      <c r="J42" s="3"/>
    </row>
    <row r="43" spans="9:10" ht="14.6" x14ac:dyDescent="0.4">
      <c r="I43" s="3"/>
      <c r="J43" s="3"/>
    </row>
    <row r="44" spans="9:10" ht="14.6" x14ac:dyDescent="0.4">
      <c r="I44" s="3"/>
      <c r="J44" s="3"/>
    </row>
    <row r="45" spans="9:10" ht="14.6" x14ac:dyDescent="0.4">
      <c r="I45" s="3"/>
      <c r="J45" s="3"/>
    </row>
    <row r="46" spans="9:10" ht="14.6" x14ac:dyDescent="0.4">
      <c r="I46" s="3"/>
      <c r="J46" s="3"/>
    </row>
    <row r="47" spans="9:10" ht="14.6" x14ac:dyDescent="0.4">
      <c r="I47" s="3"/>
      <c r="J47" s="3"/>
    </row>
    <row r="48" spans="9:10" ht="14.6" x14ac:dyDescent="0.4">
      <c r="I48" s="3"/>
      <c r="J48" s="3"/>
    </row>
    <row r="49" spans="9:10" ht="14.6" x14ac:dyDescent="0.4">
      <c r="I49" s="3"/>
      <c r="J49" s="3"/>
    </row>
    <row r="50" spans="9:10" ht="14.6" x14ac:dyDescent="0.4">
      <c r="I50" s="3"/>
      <c r="J50" s="3"/>
    </row>
    <row r="51" spans="9:10" ht="14.6" x14ac:dyDescent="0.4">
      <c r="I51" s="3"/>
      <c r="J51" s="3"/>
    </row>
    <row r="52" spans="9:10" ht="14.6" x14ac:dyDescent="0.4">
      <c r="I52" s="3"/>
      <c r="J52" s="3"/>
    </row>
    <row r="53" spans="9:10" ht="14.6" x14ac:dyDescent="0.4">
      <c r="I53" s="3"/>
      <c r="J53" s="3"/>
    </row>
    <row r="54" spans="9:10" ht="14.6" x14ac:dyDescent="0.4">
      <c r="I54" s="3"/>
      <c r="J54" s="3"/>
    </row>
    <row r="55" spans="9:10" ht="14.6" x14ac:dyDescent="0.4">
      <c r="I55" s="3"/>
      <c r="J55" s="3"/>
    </row>
    <row r="56" spans="9:10" ht="14.6" x14ac:dyDescent="0.4">
      <c r="I56" s="3"/>
      <c r="J56" s="3"/>
    </row>
    <row r="57" spans="9:10" ht="14.6" x14ac:dyDescent="0.4">
      <c r="I57" s="3"/>
      <c r="J57" s="3"/>
    </row>
    <row r="58" spans="9:10" ht="14.6" x14ac:dyDescent="0.4">
      <c r="I58" s="3"/>
      <c r="J58" s="3"/>
    </row>
    <row r="59" spans="9:10" ht="14.6" x14ac:dyDescent="0.4">
      <c r="I59" s="3"/>
      <c r="J59" s="3"/>
    </row>
    <row r="60" spans="9:10" ht="14.6" x14ac:dyDescent="0.4">
      <c r="I60" s="3"/>
      <c r="J60" s="3"/>
    </row>
    <row r="61" spans="9:10" ht="14.6" x14ac:dyDescent="0.4">
      <c r="I61" s="3"/>
      <c r="J61" s="3"/>
    </row>
    <row r="62" spans="9:10" ht="14.6" x14ac:dyDescent="0.4">
      <c r="I62" s="3"/>
      <c r="J62" s="3"/>
    </row>
    <row r="63" spans="9:10" ht="14.6" x14ac:dyDescent="0.4">
      <c r="I63" s="3"/>
      <c r="J63" s="3"/>
    </row>
    <row r="64" spans="9:10" ht="14.6" x14ac:dyDescent="0.4">
      <c r="I64" s="3"/>
      <c r="J64" s="3"/>
    </row>
    <row r="65" spans="9:10" ht="14.6" x14ac:dyDescent="0.4">
      <c r="I65" s="3"/>
      <c r="J65" s="3"/>
    </row>
    <row r="66" spans="9:10" ht="14.6" x14ac:dyDescent="0.4">
      <c r="I66" s="3"/>
      <c r="J66" s="3"/>
    </row>
    <row r="67" spans="9:10" ht="14.6" x14ac:dyDescent="0.4">
      <c r="I67" s="3"/>
      <c r="J67" s="3"/>
    </row>
    <row r="68" spans="9:10" ht="14.6" x14ac:dyDescent="0.4">
      <c r="I68" s="3"/>
      <c r="J68" s="3"/>
    </row>
    <row r="69" spans="9:10" ht="14.6" x14ac:dyDescent="0.4">
      <c r="I69" s="3"/>
      <c r="J69" s="3"/>
    </row>
    <row r="70" spans="9:10" ht="14.6" x14ac:dyDescent="0.4">
      <c r="I70" s="3"/>
      <c r="J70" s="3"/>
    </row>
    <row r="71" spans="9:10" ht="14.6" x14ac:dyDescent="0.4">
      <c r="I71" s="3"/>
      <c r="J71" s="3"/>
    </row>
    <row r="72" spans="9:10" ht="14.6" x14ac:dyDescent="0.4">
      <c r="I72" s="3"/>
      <c r="J72" s="3"/>
    </row>
    <row r="73" spans="9:10" ht="14.6" x14ac:dyDescent="0.4">
      <c r="I73" s="3"/>
      <c r="J73" s="3"/>
    </row>
    <row r="74" spans="9:10" ht="14.6" x14ac:dyDescent="0.4">
      <c r="I74" s="3"/>
      <c r="J74" s="3"/>
    </row>
    <row r="75" spans="9:10" ht="14.6" x14ac:dyDescent="0.4">
      <c r="I75" s="3"/>
      <c r="J75" s="3"/>
    </row>
    <row r="76" spans="9:10" ht="14.6" x14ac:dyDescent="0.4">
      <c r="I76" s="3"/>
      <c r="J76" s="3"/>
    </row>
    <row r="77" spans="9:10" ht="14.6" x14ac:dyDescent="0.4">
      <c r="I77" s="3"/>
      <c r="J77" s="3"/>
    </row>
    <row r="78" spans="9:10" ht="14.6" x14ac:dyDescent="0.4">
      <c r="I78" s="3"/>
      <c r="J78" s="3"/>
    </row>
    <row r="79" spans="9:10" ht="14.6" x14ac:dyDescent="0.4">
      <c r="I79" s="3"/>
      <c r="J79" s="3"/>
    </row>
    <row r="80" spans="9:10" ht="14.6" x14ac:dyDescent="0.4">
      <c r="I80" s="3"/>
      <c r="J80" s="3"/>
    </row>
    <row r="81" spans="9:10" ht="14.6" x14ac:dyDescent="0.4">
      <c r="I81" s="3"/>
      <c r="J81" s="3"/>
    </row>
    <row r="82" spans="9:10" ht="14.6" x14ac:dyDescent="0.4">
      <c r="I82" s="3"/>
      <c r="J82" s="3"/>
    </row>
    <row r="83" spans="9:10" ht="14.6" x14ac:dyDescent="0.4">
      <c r="I83" s="3"/>
      <c r="J83" s="3"/>
    </row>
    <row r="84" spans="9:10" ht="14.6" x14ac:dyDescent="0.4">
      <c r="I84" s="3"/>
      <c r="J84" s="3"/>
    </row>
    <row r="85" spans="9:10" ht="14.6" x14ac:dyDescent="0.4">
      <c r="I85" s="3"/>
      <c r="J85" s="3"/>
    </row>
    <row r="86" spans="9:10" ht="14.6" x14ac:dyDescent="0.4">
      <c r="I86" s="3"/>
      <c r="J86" s="3"/>
    </row>
    <row r="87" spans="9:10" ht="14.6" x14ac:dyDescent="0.4">
      <c r="I87" s="3"/>
      <c r="J87" s="3"/>
    </row>
    <row r="88" spans="9:10" ht="14.6" x14ac:dyDescent="0.4">
      <c r="I88" s="3"/>
      <c r="J88" s="3"/>
    </row>
    <row r="89" spans="9:10" ht="14.6" x14ac:dyDescent="0.4">
      <c r="I89" s="3"/>
      <c r="J89" s="3"/>
    </row>
    <row r="90" spans="9:10" ht="14.6" x14ac:dyDescent="0.4">
      <c r="I90" s="3"/>
      <c r="J90" s="3"/>
    </row>
    <row r="91" spans="9:10" ht="14.6" x14ac:dyDescent="0.4">
      <c r="I91" s="3"/>
      <c r="J91" s="3"/>
    </row>
    <row r="92" spans="9:10" ht="14.6" x14ac:dyDescent="0.4">
      <c r="I92" s="3"/>
      <c r="J92" s="3"/>
    </row>
    <row r="93" spans="9:10" ht="14.6" x14ac:dyDescent="0.4">
      <c r="I93" s="3"/>
      <c r="J93" s="3"/>
    </row>
    <row r="94" spans="9:10" ht="14.6" x14ac:dyDescent="0.4">
      <c r="I94" s="3"/>
      <c r="J94" s="3"/>
    </row>
    <row r="95" spans="9:10" ht="14.6" x14ac:dyDescent="0.4">
      <c r="I95" s="3"/>
      <c r="J95" s="3"/>
    </row>
    <row r="96" spans="9:10" ht="14.6" x14ac:dyDescent="0.4">
      <c r="I96" s="3"/>
      <c r="J96" s="3"/>
    </row>
    <row r="97" spans="9:10" ht="14.6" x14ac:dyDescent="0.4">
      <c r="I97" s="3"/>
      <c r="J97" s="3"/>
    </row>
    <row r="98" spans="9:10" ht="14.6" x14ac:dyDescent="0.4">
      <c r="I98" s="3"/>
      <c r="J98" s="3"/>
    </row>
    <row r="99" spans="9:10" ht="14.6" x14ac:dyDescent="0.4">
      <c r="I99" s="3"/>
      <c r="J99" s="3"/>
    </row>
    <row r="100" spans="9:10" ht="14.6" x14ac:dyDescent="0.4">
      <c r="I100" s="3"/>
      <c r="J100" s="3"/>
    </row>
    <row r="101" spans="9:10" ht="14.6" x14ac:dyDescent="0.4">
      <c r="I101" s="3"/>
      <c r="J101" s="3"/>
    </row>
    <row r="102" spans="9:10" ht="14.6" x14ac:dyDescent="0.4">
      <c r="I102" s="3"/>
      <c r="J102" s="3"/>
    </row>
    <row r="103" spans="9:10" ht="14.6" x14ac:dyDescent="0.4">
      <c r="I103" s="3"/>
      <c r="J103" s="3"/>
    </row>
    <row r="104" spans="9:10" ht="14.6" x14ac:dyDescent="0.4">
      <c r="I104" s="3"/>
      <c r="J104" s="3"/>
    </row>
    <row r="105" spans="9:10" ht="14.6" x14ac:dyDescent="0.4">
      <c r="I105" s="3"/>
      <c r="J105" s="3"/>
    </row>
    <row r="106" spans="9:10" ht="14.6" x14ac:dyDescent="0.4">
      <c r="I106" s="3"/>
      <c r="J106" s="3"/>
    </row>
    <row r="107" spans="9:10" ht="14.6" x14ac:dyDescent="0.4">
      <c r="I107" s="3"/>
      <c r="J107" s="3"/>
    </row>
    <row r="108" spans="9:10" ht="14.6" x14ac:dyDescent="0.4">
      <c r="I108" s="3"/>
      <c r="J108" s="3"/>
    </row>
    <row r="109" spans="9:10" ht="14.6" x14ac:dyDescent="0.4">
      <c r="I109" s="3"/>
      <c r="J109" s="3"/>
    </row>
    <row r="110" spans="9:10" ht="14.6" x14ac:dyDescent="0.4">
      <c r="I110" s="3"/>
      <c r="J110" s="3"/>
    </row>
    <row r="111" spans="9:10" ht="14.6" x14ac:dyDescent="0.4">
      <c r="I111" s="3"/>
      <c r="J111" s="3"/>
    </row>
    <row r="112" spans="9:10" ht="14.6" x14ac:dyDescent="0.4">
      <c r="I112" s="3"/>
      <c r="J112" s="3"/>
    </row>
    <row r="113" spans="9:10" ht="14.6" x14ac:dyDescent="0.4">
      <c r="I113" s="3"/>
      <c r="J113" s="3"/>
    </row>
    <row r="114" spans="9:10" ht="14.6" x14ac:dyDescent="0.4">
      <c r="I114" s="3"/>
      <c r="J114" s="3"/>
    </row>
    <row r="115" spans="9:10" ht="14.6" x14ac:dyDescent="0.4">
      <c r="I115" s="3"/>
      <c r="J115" s="3"/>
    </row>
    <row r="116" spans="9:10" ht="14.6" x14ac:dyDescent="0.4">
      <c r="I116" s="3"/>
      <c r="J116" s="3"/>
    </row>
    <row r="117" spans="9:10" ht="14.6" x14ac:dyDescent="0.4">
      <c r="I117" s="3"/>
      <c r="J117" s="3"/>
    </row>
    <row r="118" spans="9:10" ht="14.6" x14ac:dyDescent="0.4">
      <c r="I118" s="3"/>
      <c r="J118" s="3"/>
    </row>
    <row r="119" spans="9:10" ht="14.6" x14ac:dyDescent="0.4">
      <c r="I119" s="3"/>
      <c r="J119" s="3"/>
    </row>
    <row r="120" spans="9:10" ht="14.6" x14ac:dyDescent="0.4">
      <c r="I120" s="3"/>
      <c r="J120" s="3"/>
    </row>
    <row r="121" spans="9:10" ht="14.6" x14ac:dyDescent="0.4">
      <c r="I121" s="3"/>
      <c r="J121" s="3"/>
    </row>
    <row r="122" spans="9:10" ht="14.6" x14ac:dyDescent="0.4">
      <c r="I122" s="3"/>
      <c r="J122" s="3"/>
    </row>
    <row r="123" spans="9:10" ht="14.6" x14ac:dyDescent="0.4">
      <c r="I123" s="3"/>
      <c r="J123" s="3"/>
    </row>
    <row r="124" spans="9:10" ht="14.6" x14ac:dyDescent="0.4">
      <c r="I124" s="3"/>
      <c r="J124" s="3"/>
    </row>
    <row r="125" spans="9:10" ht="14.6" x14ac:dyDescent="0.4">
      <c r="I125" s="3"/>
      <c r="J125" s="3"/>
    </row>
    <row r="126" spans="9:10" ht="14.6" x14ac:dyDescent="0.4">
      <c r="I126" s="3"/>
      <c r="J126" s="3"/>
    </row>
    <row r="127" spans="9:10" ht="14.6" x14ac:dyDescent="0.4">
      <c r="I127" s="3"/>
      <c r="J127" s="3"/>
    </row>
    <row r="128" spans="9:10" ht="14.6" x14ac:dyDescent="0.4">
      <c r="I128" s="3"/>
      <c r="J128" s="3"/>
    </row>
    <row r="129" spans="9:10" ht="14.6" x14ac:dyDescent="0.4">
      <c r="I129" s="3"/>
      <c r="J129" s="3"/>
    </row>
    <row r="130" spans="9:10" ht="14.6" x14ac:dyDescent="0.4">
      <c r="I130" s="3"/>
      <c r="J130" s="3"/>
    </row>
    <row r="131" spans="9:10" ht="14.6" x14ac:dyDescent="0.4">
      <c r="I131" s="3"/>
      <c r="J131" s="3"/>
    </row>
    <row r="132" spans="9:10" ht="14.6" x14ac:dyDescent="0.4">
      <c r="I132" s="3"/>
      <c r="J132" s="3"/>
    </row>
    <row r="133" spans="9:10" ht="14.6" x14ac:dyDescent="0.4">
      <c r="I133" s="3"/>
      <c r="J133" s="3"/>
    </row>
    <row r="134" spans="9:10" ht="14.6" x14ac:dyDescent="0.4">
      <c r="I134" s="3"/>
      <c r="J134" s="3"/>
    </row>
    <row r="135" spans="9:10" ht="14.6" x14ac:dyDescent="0.4">
      <c r="I135" s="3"/>
      <c r="J135" s="3"/>
    </row>
    <row r="136" spans="9:10" ht="14.6" x14ac:dyDescent="0.4">
      <c r="I136" s="3"/>
      <c r="J136" s="3"/>
    </row>
    <row r="137" spans="9:10" ht="14.6" x14ac:dyDescent="0.4">
      <c r="I137" s="3"/>
      <c r="J137" s="3"/>
    </row>
    <row r="138" spans="9:10" ht="14.6" x14ac:dyDescent="0.4">
      <c r="I138" s="3"/>
      <c r="J138" s="3"/>
    </row>
    <row r="139" spans="9:10" ht="14.6" x14ac:dyDescent="0.4">
      <c r="I139" s="3"/>
      <c r="J139" s="3"/>
    </row>
    <row r="140" spans="9:10" ht="14.6" x14ac:dyDescent="0.4">
      <c r="I140" s="3"/>
      <c r="J140" s="3"/>
    </row>
    <row r="141" spans="9:10" ht="14.6" x14ac:dyDescent="0.4">
      <c r="I141" s="3"/>
      <c r="J141" s="3"/>
    </row>
    <row r="142" spans="9:10" ht="14.6" x14ac:dyDescent="0.4">
      <c r="I142" s="3"/>
      <c r="J142" s="3"/>
    </row>
    <row r="143" spans="9:10" ht="14.6" x14ac:dyDescent="0.4">
      <c r="I143" s="3"/>
      <c r="J143" s="3"/>
    </row>
    <row r="144" spans="9:10" ht="14.6" x14ac:dyDescent="0.4">
      <c r="I144" s="3"/>
      <c r="J144" s="3"/>
    </row>
    <row r="145" spans="9:10" ht="14.6" x14ac:dyDescent="0.4">
      <c r="I145" s="3"/>
      <c r="J145" s="3"/>
    </row>
    <row r="146" spans="9:10" ht="14.6" x14ac:dyDescent="0.4">
      <c r="I146" s="3"/>
      <c r="J146" s="3"/>
    </row>
    <row r="147" spans="9:10" ht="14.6" x14ac:dyDescent="0.4">
      <c r="I147" s="3"/>
      <c r="J147" s="3"/>
    </row>
    <row r="148" spans="9:10" ht="14.6" x14ac:dyDescent="0.4">
      <c r="I148" s="3"/>
      <c r="J148" s="3"/>
    </row>
    <row r="149" spans="9:10" ht="14.6" x14ac:dyDescent="0.4">
      <c r="I149" s="3"/>
      <c r="J149" s="3"/>
    </row>
    <row r="150" spans="9:10" ht="14.6" x14ac:dyDescent="0.4">
      <c r="I150" s="3"/>
      <c r="J150" s="3"/>
    </row>
    <row r="151" spans="9:10" ht="14.6" x14ac:dyDescent="0.4">
      <c r="I151" s="3"/>
      <c r="J151" s="3"/>
    </row>
    <row r="152" spans="9:10" ht="14.6" x14ac:dyDescent="0.4">
      <c r="I152" s="3"/>
      <c r="J152" s="3"/>
    </row>
    <row r="153" spans="9:10" ht="14.6" x14ac:dyDescent="0.4">
      <c r="I153" s="3"/>
      <c r="J153" s="3"/>
    </row>
    <row r="154" spans="9:10" ht="14.6" x14ac:dyDescent="0.4">
      <c r="I154" s="3"/>
      <c r="J154" s="3"/>
    </row>
    <row r="155" spans="9:10" ht="14.6" x14ac:dyDescent="0.4">
      <c r="I155" s="3"/>
      <c r="J155" s="3"/>
    </row>
    <row r="156" spans="9:10" ht="14.6" x14ac:dyDescent="0.4">
      <c r="I156" s="3"/>
      <c r="J156" s="3"/>
    </row>
    <row r="157" spans="9:10" ht="14.6" x14ac:dyDescent="0.4">
      <c r="I157" s="3"/>
      <c r="J157" s="3"/>
    </row>
    <row r="158" spans="9:10" ht="14.6" x14ac:dyDescent="0.4">
      <c r="I158" s="3"/>
      <c r="J158" s="3"/>
    </row>
    <row r="159" spans="9:10" ht="14.6" x14ac:dyDescent="0.4">
      <c r="I159" s="3"/>
      <c r="J159" s="3"/>
    </row>
    <row r="160" spans="9:10" ht="14.6" x14ac:dyDescent="0.4">
      <c r="I160" s="3"/>
      <c r="J160" s="3"/>
    </row>
    <row r="161" spans="9:10" ht="14.6" x14ac:dyDescent="0.4">
      <c r="I161" s="3"/>
      <c r="J161" s="3"/>
    </row>
    <row r="162" spans="9:10" ht="14.6" x14ac:dyDescent="0.4">
      <c r="I162" s="3"/>
      <c r="J162" s="3"/>
    </row>
    <row r="163" spans="9:10" ht="14.6" x14ac:dyDescent="0.4">
      <c r="I163" s="3"/>
      <c r="J163" s="3"/>
    </row>
    <row r="164" spans="9:10" ht="14.6" x14ac:dyDescent="0.4">
      <c r="I164" s="3"/>
      <c r="J164" s="3"/>
    </row>
    <row r="165" spans="9:10" ht="14.6" x14ac:dyDescent="0.4">
      <c r="I165" s="3"/>
      <c r="J165" s="3"/>
    </row>
    <row r="166" spans="9:10" ht="14.6" x14ac:dyDescent="0.4">
      <c r="I166" s="3"/>
      <c r="J166" s="3"/>
    </row>
    <row r="167" spans="9:10" ht="14.6" x14ac:dyDescent="0.4">
      <c r="I167" s="3"/>
      <c r="J167" s="3"/>
    </row>
    <row r="168" spans="9:10" ht="14.6" x14ac:dyDescent="0.4">
      <c r="I168" s="3"/>
      <c r="J168" s="3"/>
    </row>
    <row r="169" spans="9:10" ht="14.6" x14ac:dyDescent="0.4">
      <c r="I169" s="3"/>
      <c r="J169" s="3"/>
    </row>
    <row r="170" spans="9:10" ht="14.6" x14ac:dyDescent="0.4">
      <c r="I170" s="3"/>
      <c r="J170" s="3"/>
    </row>
    <row r="171" spans="9:10" ht="14.6" x14ac:dyDescent="0.4">
      <c r="I171" s="3"/>
      <c r="J171" s="3"/>
    </row>
    <row r="172" spans="9:10" ht="14.6" x14ac:dyDescent="0.4">
      <c r="I172" s="3"/>
      <c r="J172" s="3"/>
    </row>
    <row r="173" spans="9:10" ht="14.6" x14ac:dyDescent="0.4">
      <c r="I173" s="3"/>
      <c r="J173" s="3"/>
    </row>
    <row r="174" spans="9:10" ht="14.6" x14ac:dyDescent="0.4">
      <c r="I174" s="3"/>
      <c r="J174" s="3"/>
    </row>
    <row r="175" spans="9:10" ht="14.6" x14ac:dyDescent="0.4">
      <c r="I175" s="3"/>
      <c r="J175" s="3"/>
    </row>
    <row r="176" spans="9:10" ht="14.6" x14ac:dyDescent="0.4">
      <c r="I176" s="3"/>
      <c r="J176" s="3"/>
    </row>
    <row r="177" spans="9:10" ht="14.6" x14ac:dyDescent="0.4">
      <c r="I177" s="3"/>
      <c r="J177" s="3"/>
    </row>
    <row r="178" spans="9:10" ht="14.6" x14ac:dyDescent="0.4">
      <c r="I178" s="3"/>
      <c r="J178" s="3"/>
    </row>
    <row r="179" spans="9:10" ht="14.6" x14ac:dyDescent="0.4">
      <c r="I179" s="3"/>
      <c r="J179" s="3"/>
    </row>
    <row r="180" spans="9:10" ht="14.6" x14ac:dyDescent="0.4">
      <c r="I180" s="3"/>
      <c r="J180" s="3"/>
    </row>
    <row r="181" spans="9:10" ht="14.6" x14ac:dyDescent="0.4">
      <c r="I181" s="3"/>
      <c r="J181" s="3"/>
    </row>
    <row r="182" spans="9:10" ht="14.6" x14ac:dyDescent="0.4">
      <c r="I182" s="3"/>
      <c r="J182" s="3"/>
    </row>
    <row r="183" spans="9:10" ht="14.6" x14ac:dyDescent="0.4">
      <c r="I183" s="3"/>
      <c r="J183" s="3"/>
    </row>
    <row r="184" spans="9:10" ht="14.6" x14ac:dyDescent="0.4">
      <c r="I184" s="3"/>
      <c r="J184" s="3"/>
    </row>
    <row r="185" spans="9:10" ht="14.6" x14ac:dyDescent="0.4">
      <c r="I185" s="3"/>
      <c r="J185" s="3"/>
    </row>
    <row r="186" spans="9:10" ht="14.6" x14ac:dyDescent="0.4">
      <c r="I186" s="3"/>
      <c r="J186" s="3"/>
    </row>
    <row r="187" spans="9:10" ht="14.6" x14ac:dyDescent="0.4">
      <c r="I187" s="3"/>
      <c r="J187" s="3"/>
    </row>
    <row r="188" spans="9:10" ht="14.6" x14ac:dyDescent="0.4">
      <c r="I188" s="3"/>
      <c r="J188" s="3"/>
    </row>
    <row r="189" spans="9:10" ht="14.6" x14ac:dyDescent="0.4">
      <c r="I189" s="3"/>
      <c r="J189" s="3"/>
    </row>
    <row r="190" spans="9:10" ht="14.6" x14ac:dyDescent="0.4">
      <c r="I190" s="3"/>
      <c r="J190" s="3"/>
    </row>
    <row r="191" spans="9:10" ht="14.6" x14ac:dyDescent="0.4">
      <c r="I191" s="3"/>
      <c r="J191" s="3"/>
    </row>
    <row r="192" spans="9:10" ht="14.6" x14ac:dyDescent="0.4">
      <c r="I192" s="3"/>
      <c r="J192" s="3"/>
    </row>
    <row r="193" spans="9:10" ht="14.6" x14ac:dyDescent="0.4">
      <c r="I193" s="3"/>
      <c r="J193" s="3"/>
    </row>
    <row r="194" spans="9:10" ht="14.6" x14ac:dyDescent="0.4">
      <c r="I194" s="3"/>
      <c r="J194" s="3"/>
    </row>
    <row r="195" spans="9:10" ht="14.6" x14ac:dyDescent="0.4">
      <c r="I195" s="3"/>
      <c r="J195" s="3"/>
    </row>
    <row r="196" spans="9:10" ht="14.6" x14ac:dyDescent="0.4">
      <c r="I196" s="3"/>
      <c r="J196" s="3"/>
    </row>
    <row r="197" spans="9:10" ht="14.6" x14ac:dyDescent="0.4">
      <c r="I197" s="3"/>
      <c r="J197" s="3"/>
    </row>
    <row r="198" spans="9:10" ht="14.6" x14ac:dyDescent="0.4">
      <c r="I198" s="3"/>
      <c r="J198" s="3"/>
    </row>
    <row r="199" spans="9:10" ht="14.6" x14ac:dyDescent="0.4">
      <c r="I199" s="3"/>
      <c r="J199" s="3"/>
    </row>
    <row r="200" spans="9:10" ht="14.6" x14ac:dyDescent="0.4">
      <c r="I200" s="3"/>
      <c r="J200" s="3"/>
    </row>
    <row r="201" spans="9:10" ht="14.6" x14ac:dyDescent="0.4">
      <c r="I201" s="3"/>
      <c r="J201" s="3"/>
    </row>
    <row r="202" spans="9:10" ht="14.6" x14ac:dyDescent="0.4">
      <c r="I202" s="3"/>
      <c r="J202" s="3"/>
    </row>
    <row r="203" spans="9:10" ht="14.6" x14ac:dyDescent="0.4">
      <c r="I203" s="3"/>
      <c r="J203" s="3"/>
    </row>
    <row r="204" spans="9:10" ht="14.6" x14ac:dyDescent="0.4">
      <c r="I204" s="3"/>
      <c r="J204" s="3"/>
    </row>
    <row r="205" spans="9:10" ht="14.6" x14ac:dyDescent="0.4">
      <c r="I205" s="3"/>
      <c r="J205" s="3"/>
    </row>
    <row r="206" spans="9:10" ht="14.6" x14ac:dyDescent="0.4">
      <c r="I206" s="3"/>
      <c r="J206" s="3"/>
    </row>
    <row r="207" spans="9:10" ht="14.6" x14ac:dyDescent="0.4">
      <c r="I207" s="3"/>
      <c r="J207" s="3"/>
    </row>
    <row r="208" spans="9:10" ht="14.6" x14ac:dyDescent="0.4">
      <c r="I208" s="3"/>
      <c r="J208" s="3"/>
    </row>
    <row r="209" spans="9:10" ht="14.6" x14ac:dyDescent="0.4">
      <c r="I209" s="3"/>
      <c r="J209" s="3"/>
    </row>
    <row r="210" spans="9:10" ht="14.6" x14ac:dyDescent="0.4">
      <c r="I210" s="3"/>
      <c r="J210" s="3"/>
    </row>
    <row r="211" spans="9:10" ht="14.6" x14ac:dyDescent="0.4">
      <c r="I211" s="3"/>
      <c r="J211" s="3"/>
    </row>
    <row r="212" spans="9:10" ht="14.6" x14ac:dyDescent="0.4">
      <c r="I212" s="3"/>
      <c r="J212" s="3"/>
    </row>
    <row r="213" spans="9:10" ht="14.6" x14ac:dyDescent="0.4">
      <c r="I213" s="3"/>
      <c r="J213" s="3"/>
    </row>
    <row r="214" spans="9:10" ht="14.6" x14ac:dyDescent="0.4">
      <c r="I214" s="3"/>
      <c r="J214" s="3"/>
    </row>
    <row r="215" spans="9:10" ht="14.6" x14ac:dyDescent="0.4">
      <c r="I215" s="3"/>
      <c r="J215" s="3"/>
    </row>
    <row r="216" spans="9:10" ht="14.6" x14ac:dyDescent="0.4">
      <c r="I216" s="3"/>
      <c r="J216" s="3"/>
    </row>
    <row r="217" spans="9:10" ht="14.6" x14ac:dyDescent="0.4">
      <c r="I217" s="3"/>
      <c r="J217" s="3"/>
    </row>
    <row r="218" spans="9:10" ht="14.6" x14ac:dyDescent="0.4">
      <c r="I218" s="3"/>
      <c r="J218" s="3"/>
    </row>
    <row r="219" spans="9:10" ht="14.6" x14ac:dyDescent="0.4">
      <c r="I219" s="3"/>
      <c r="J219" s="3"/>
    </row>
    <row r="220" spans="9:10" ht="14.6" x14ac:dyDescent="0.4">
      <c r="I220" s="3"/>
      <c r="J220" s="3"/>
    </row>
    <row r="221" spans="9:10" ht="14.6" x14ac:dyDescent="0.4">
      <c r="I221" s="3"/>
      <c r="J221" s="3"/>
    </row>
    <row r="222" spans="9:10" ht="14.6" x14ac:dyDescent="0.4">
      <c r="I222" s="3"/>
      <c r="J222" s="3"/>
    </row>
    <row r="223" spans="9:10" ht="14.6" x14ac:dyDescent="0.4">
      <c r="I223" s="3"/>
      <c r="J223" s="3"/>
    </row>
    <row r="224" spans="9:10" ht="14.6" x14ac:dyDescent="0.4">
      <c r="I224" s="3"/>
      <c r="J224" s="3"/>
    </row>
    <row r="225" spans="9:10" ht="14.6" x14ac:dyDescent="0.4">
      <c r="I225" s="3"/>
      <c r="J225" s="3"/>
    </row>
    <row r="226" spans="9:10" ht="14.6" x14ac:dyDescent="0.4">
      <c r="I226" s="3"/>
      <c r="J226" s="3"/>
    </row>
    <row r="227" spans="9:10" ht="14.6" x14ac:dyDescent="0.4">
      <c r="I227" s="3"/>
      <c r="J227" s="3"/>
    </row>
    <row r="228" spans="9:10" ht="14.6" x14ac:dyDescent="0.4">
      <c r="I228" s="3"/>
      <c r="J228" s="3"/>
    </row>
    <row r="229" spans="9:10" ht="14.6" x14ac:dyDescent="0.4">
      <c r="I229" s="3"/>
      <c r="J229" s="3"/>
    </row>
    <row r="230" spans="9:10" ht="14.6" x14ac:dyDescent="0.4">
      <c r="I230" s="3"/>
      <c r="J230" s="3"/>
    </row>
    <row r="231" spans="9:10" ht="14.6" x14ac:dyDescent="0.4">
      <c r="I231" s="3"/>
      <c r="J231" s="3"/>
    </row>
    <row r="232" spans="9:10" ht="14.6" x14ac:dyDescent="0.4">
      <c r="I232" s="3"/>
      <c r="J232" s="3"/>
    </row>
    <row r="233" spans="9:10" ht="14.6" x14ac:dyDescent="0.4">
      <c r="I233" s="3"/>
      <c r="J233" s="3"/>
    </row>
    <row r="234" spans="9:10" ht="14.6" x14ac:dyDescent="0.4">
      <c r="I234" s="3"/>
      <c r="J234" s="3"/>
    </row>
    <row r="235" spans="9:10" ht="14.6" x14ac:dyDescent="0.4">
      <c r="I235" s="3"/>
      <c r="J235" s="3"/>
    </row>
    <row r="236" spans="9:10" ht="14.6" x14ac:dyDescent="0.4">
      <c r="I236" s="3"/>
      <c r="J236" s="3"/>
    </row>
    <row r="237" spans="9:10" ht="14.6" x14ac:dyDescent="0.4">
      <c r="I237" s="3"/>
      <c r="J237" s="3"/>
    </row>
    <row r="238" spans="9:10" ht="14.6" x14ac:dyDescent="0.4">
      <c r="I238" s="3"/>
      <c r="J238" s="3"/>
    </row>
    <row r="239" spans="9:10" ht="14.6" x14ac:dyDescent="0.4">
      <c r="I239" s="3"/>
      <c r="J239" s="3"/>
    </row>
    <row r="240" spans="9:10" ht="14.6" x14ac:dyDescent="0.4">
      <c r="I240" s="3"/>
      <c r="J240" s="3"/>
    </row>
    <row r="241" spans="9:10" ht="14.6" x14ac:dyDescent="0.4">
      <c r="I241" s="3"/>
      <c r="J241" s="3"/>
    </row>
    <row r="242" spans="9:10" ht="14.6" x14ac:dyDescent="0.4">
      <c r="I242" s="3"/>
      <c r="J242" s="3"/>
    </row>
    <row r="243" spans="9:10" ht="14.6" x14ac:dyDescent="0.4">
      <c r="I243" s="3"/>
      <c r="J243" s="3"/>
    </row>
    <row r="244" spans="9:10" ht="14.6" x14ac:dyDescent="0.4">
      <c r="I244" s="3"/>
      <c r="J244" s="3"/>
    </row>
    <row r="245" spans="9:10" ht="14.6" x14ac:dyDescent="0.4">
      <c r="I245" s="3"/>
      <c r="J245" s="3"/>
    </row>
    <row r="246" spans="9:10" ht="14.6" x14ac:dyDescent="0.4">
      <c r="I246" s="3"/>
      <c r="J246" s="3"/>
    </row>
    <row r="247" spans="9:10" ht="14.6" x14ac:dyDescent="0.4">
      <c r="I247" s="3"/>
      <c r="J247" s="3"/>
    </row>
    <row r="248" spans="9:10" ht="14.6" x14ac:dyDescent="0.4">
      <c r="I248" s="3"/>
      <c r="J248" s="3"/>
    </row>
    <row r="249" spans="9:10" ht="14.6" x14ac:dyDescent="0.4">
      <c r="I249" s="3"/>
      <c r="J249" s="3"/>
    </row>
    <row r="250" spans="9:10" ht="14.6" x14ac:dyDescent="0.4">
      <c r="I250" s="3"/>
      <c r="J250" s="3"/>
    </row>
    <row r="251" spans="9:10" ht="14.6" x14ac:dyDescent="0.4">
      <c r="I251" s="3"/>
      <c r="J251" s="3"/>
    </row>
    <row r="252" spans="9:10" ht="14.6" x14ac:dyDescent="0.4">
      <c r="I252" s="3"/>
      <c r="J252" s="3"/>
    </row>
    <row r="253" spans="9:10" ht="14.6" x14ac:dyDescent="0.4">
      <c r="I253" s="3"/>
      <c r="J253" s="3"/>
    </row>
    <row r="254" spans="9:10" ht="14.6" x14ac:dyDescent="0.4">
      <c r="I254" s="3"/>
      <c r="J254" s="3"/>
    </row>
    <row r="255" spans="9:10" ht="14.6" x14ac:dyDescent="0.4">
      <c r="I255" s="3"/>
      <c r="J255" s="3"/>
    </row>
    <row r="256" spans="9:10" ht="14.6" x14ac:dyDescent="0.4">
      <c r="I256" s="3"/>
      <c r="J256" s="3"/>
    </row>
    <row r="257" spans="9:10" ht="14.6" x14ac:dyDescent="0.4">
      <c r="I257" s="3"/>
      <c r="J257" s="3"/>
    </row>
    <row r="258" spans="9:10" ht="14.6" x14ac:dyDescent="0.4">
      <c r="I258" s="3"/>
      <c r="J258" s="3"/>
    </row>
    <row r="259" spans="9:10" ht="14.6" x14ac:dyDescent="0.4">
      <c r="I259" s="3"/>
      <c r="J259" s="3"/>
    </row>
    <row r="260" spans="9:10" ht="14.6" x14ac:dyDescent="0.4">
      <c r="I260" s="3"/>
      <c r="J260" s="3"/>
    </row>
    <row r="261" spans="9:10" ht="14.6" x14ac:dyDescent="0.4">
      <c r="I261" s="3"/>
      <c r="J261" s="3"/>
    </row>
    <row r="262" spans="9:10" ht="14.6" x14ac:dyDescent="0.4">
      <c r="I262" s="3"/>
      <c r="J262" s="3"/>
    </row>
    <row r="263" spans="9:10" ht="14.6" x14ac:dyDescent="0.4">
      <c r="I263" s="3"/>
      <c r="J263" s="3"/>
    </row>
    <row r="264" spans="9:10" ht="14.6" x14ac:dyDescent="0.4">
      <c r="I264" s="3"/>
      <c r="J264" s="3"/>
    </row>
    <row r="265" spans="9:10" ht="14.6" x14ac:dyDescent="0.4">
      <c r="I265" s="3"/>
      <c r="J265" s="3"/>
    </row>
    <row r="266" spans="9:10" ht="14.6" x14ac:dyDescent="0.4">
      <c r="I266" s="3"/>
      <c r="J266" s="3"/>
    </row>
    <row r="267" spans="9:10" ht="14.6" x14ac:dyDescent="0.4">
      <c r="I267" s="3"/>
      <c r="J267" s="3"/>
    </row>
    <row r="268" spans="9:10" ht="14.6" x14ac:dyDescent="0.4">
      <c r="I268" s="3"/>
      <c r="J268" s="3"/>
    </row>
    <row r="269" spans="9:10" ht="14.6" x14ac:dyDescent="0.4">
      <c r="I269" s="3"/>
      <c r="J269" s="3"/>
    </row>
    <row r="270" spans="9:10" ht="14.6" x14ac:dyDescent="0.4">
      <c r="I270" s="3"/>
      <c r="J270" s="3"/>
    </row>
    <row r="271" spans="9:10" ht="14.6" x14ac:dyDescent="0.4">
      <c r="I271" s="3"/>
      <c r="J271" s="3"/>
    </row>
    <row r="272" spans="9:10" ht="14.6" x14ac:dyDescent="0.4">
      <c r="I272" s="3"/>
      <c r="J272" s="3"/>
    </row>
    <row r="273" spans="9:10" ht="14.6" x14ac:dyDescent="0.4">
      <c r="I273" s="3"/>
      <c r="J273" s="3"/>
    </row>
    <row r="274" spans="9:10" ht="14.6" x14ac:dyDescent="0.4">
      <c r="I274" s="3"/>
      <c r="J274" s="3"/>
    </row>
    <row r="275" spans="9:10" ht="14.6" x14ac:dyDescent="0.4">
      <c r="I275" s="3"/>
      <c r="J275" s="3"/>
    </row>
    <row r="276" spans="9:10" ht="14.6" x14ac:dyDescent="0.4">
      <c r="I276" s="3"/>
      <c r="J276" s="3"/>
    </row>
    <row r="277" spans="9:10" ht="14.6" x14ac:dyDescent="0.4">
      <c r="I277" s="3"/>
      <c r="J277" s="3"/>
    </row>
    <row r="278" spans="9:10" ht="14.6" x14ac:dyDescent="0.4">
      <c r="I278" s="3"/>
      <c r="J278" s="3"/>
    </row>
    <row r="279" spans="9:10" ht="14.6" x14ac:dyDescent="0.4">
      <c r="I279" s="3"/>
      <c r="J279" s="3"/>
    </row>
    <row r="280" spans="9:10" ht="14.6" x14ac:dyDescent="0.4">
      <c r="I280" s="3"/>
      <c r="J280" s="3"/>
    </row>
    <row r="281" spans="9:10" ht="14.6" x14ac:dyDescent="0.4">
      <c r="I281" s="3"/>
      <c r="J281" s="3"/>
    </row>
    <row r="282" spans="9:10" ht="14.6" x14ac:dyDescent="0.4">
      <c r="I282" s="3"/>
      <c r="J282" s="3"/>
    </row>
    <row r="283" spans="9:10" ht="14.6" x14ac:dyDescent="0.4">
      <c r="I283" s="3"/>
      <c r="J283" s="3"/>
    </row>
    <row r="284" spans="9:10" ht="14.6" x14ac:dyDescent="0.4">
      <c r="I284" s="3"/>
      <c r="J284" s="3"/>
    </row>
    <row r="285" spans="9:10" ht="14.6" x14ac:dyDescent="0.4">
      <c r="I285" s="3"/>
      <c r="J285" s="3"/>
    </row>
    <row r="286" spans="9:10" ht="14.6" x14ac:dyDescent="0.4">
      <c r="I286" s="3"/>
      <c r="J286" s="3"/>
    </row>
    <row r="287" spans="9:10" ht="14.6" x14ac:dyDescent="0.4">
      <c r="I287" s="3"/>
      <c r="J287" s="3"/>
    </row>
    <row r="288" spans="9:10" ht="14.6" x14ac:dyDescent="0.4">
      <c r="I288" s="3"/>
      <c r="J288" s="3"/>
    </row>
    <row r="289" spans="9:10" ht="14.6" x14ac:dyDescent="0.4">
      <c r="I289" s="3"/>
      <c r="J289" s="3"/>
    </row>
    <row r="290" spans="9:10" ht="14.6" x14ac:dyDescent="0.4">
      <c r="I290" s="3"/>
      <c r="J290" s="3"/>
    </row>
    <row r="291" spans="9:10" ht="14.6" x14ac:dyDescent="0.4">
      <c r="I291" s="3"/>
      <c r="J291" s="3"/>
    </row>
    <row r="292" spans="9:10" ht="14.6" x14ac:dyDescent="0.4">
      <c r="I292" s="3"/>
      <c r="J292" s="3"/>
    </row>
    <row r="293" spans="9:10" ht="14.6" x14ac:dyDescent="0.4">
      <c r="I293" s="3"/>
      <c r="J293" s="3"/>
    </row>
    <row r="294" spans="9:10" ht="14.6" x14ac:dyDescent="0.4">
      <c r="I294" s="3"/>
      <c r="J294" s="3"/>
    </row>
    <row r="295" spans="9:10" ht="14.6" x14ac:dyDescent="0.4">
      <c r="I295" s="3"/>
      <c r="J295" s="3"/>
    </row>
    <row r="296" spans="9:10" ht="14.6" x14ac:dyDescent="0.4">
      <c r="I296" s="3"/>
      <c r="J296" s="3"/>
    </row>
    <row r="297" spans="9:10" ht="14.6" x14ac:dyDescent="0.4">
      <c r="I297" s="3"/>
      <c r="J297" s="3"/>
    </row>
    <row r="298" spans="9:10" ht="14.6" x14ac:dyDescent="0.4">
      <c r="I298" s="3"/>
      <c r="J298" s="3"/>
    </row>
    <row r="299" spans="9:10" ht="14.6" x14ac:dyDescent="0.4">
      <c r="I299" s="3"/>
      <c r="J299" s="3"/>
    </row>
    <row r="300" spans="9:10" ht="14.6" x14ac:dyDescent="0.4">
      <c r="I300" s="3"/>
      <c r="J300" s="3"/>
    </row>
    <row r="301" spans="9:10" ht="14.6" x14ac:dyDescent="0.4">
      <c r="I301" s="3"/>
      <c r="J301" s="3"/>
    </row>
    <row r="302" spans="9:10" ht="14.6" x14ac:dyDescent="0.4">
      <c r="I302" s="3"/>
      <c r="J302" s="3"/>
    </row>
    <row r="303" spans="9:10" ht="14.6" x14ac:dyDescent="0.4">
      <c r="I303" s="3"/>
      <c r="J303" s="3"/>
    </row>
    <row r="304" spans="9:10" ht="14.6" x14ac:dyDescent="0.4">
      <c r="I304" s="3"/>
      <c r="J304" s="3"/>
    </row>
    <row r="305" spans="9:10" ht="14.6" x14ac:dyDescent="0.4">
      <c r="I305" s="3"/>
      <c r="J305" s="3"/>
    </row>
    <row r="306" spans="9:10" ht="14.6" x14ac:dyDescent="0.4">
      <c r="I306" s="3"/>
      <c r="J306" s="3"/>
    </row>
    <row r="307" spans="9:10" ht="14.6" x14ac:dyDescent="0.4">
      <c r="I307" s="3"/>
      <c r="J307" s="3"/>
    </row>
    <row r="308" spans="9:10" ht="14.6" x14ac:dyDescent="0.4">
      <c r="I308" s="3"/>
      <c r="J308" s="3"/>
    </row>
    <row r="309" spans="9:10" ht="14.6" x14ac:dyDescent="0.4">
      <c r="I309" s="3"/>
      <c r="J309" s="3"/>
    </row>
    <row r="310" spans="9:10" ht="14.6" x14ac:dyDescent="0.4">
      <c r="I310" s="3"/>
      <c r="J310" s="3"/>
    </row>
    <row r="311" spans="9:10" ht="14.6" x14ac:dyDescent="0.4">
      <c r="I311" s="3"/>
      <c r="J311" s="3"/>
    </row>
    <row r="312" spans="9:10" ht="14.6" x14ac:dyDescent="0.4">
      <c r="I312" s="3"/>
      <c r="J312" s="3"/>
    </row>
    <row r="313" spans="9:10" ht="14.6" x14ac:dyDescent="0.4">
      <c r="I313" s="3"/>
      <c r="J313" s="3"/>
    </row>
    <row r="314" spans="9:10" ht="14.6" x14ac:dyDescent="0.4">
      <c r="I314" s="3"/>
      <c r="J314" s="3"/>
    </row>
    <row r="315" spans="9:10" ht="14.6" x14ac:dyDescent="0.4">
      <c r="I315" s="3"/>
      <c r="J315" s="3"/>
    </row>
    <row r="316" spans="9:10" ht="14.6" x14ac:dyDescent="0.4">
      <c r="I316" s="3"/>
      <c r="J316" s="3"/>
    </row>
    <row r="317" spans="9:10" ht="14.6" x14ac:dyDescent="0.4">
      <c r="I317" s="3"/>
      <c r="J317" s="3"/>
    </row>
    <row r="318" spans="9:10" ht="14.6" x14ac:dyDescent="0.4">
      <c r="I318" s="3"/>
      <c r="J318" s="3"/>
    </row>
    <row r="319" spans="9:10" ht="14.6" x14ac:dyDescent="0.4">
      <c r="I319" s="3"/>
      <c r="J319" s="3"/>
    </row>
    <row r="320" spans="9:10" ht="14.6" x14ac:dyDescent="0.4">
      <c r="I320" s="3"/>
      <c r="J320" s="3"/>
    </row>
    <row r="321" spans="9:10" ht="14.6" x14ac:dyDescent="0.4">
      <c r="I321" s="3"/>
      <c r="J321" s="3"/>
    </row>
    <row r="322" spans="9:10" ht="14.6" x14ac:dyDescent="0.4">
      <c r="I322" s="3"/>
      <c r="J322" s="3"/>
    </row>
    <row r="323" spans="9:10" ht="14.6" x14ac:dyDescent="0.4">
      <c r="I323" s="3"/>
      <c r="J323" s="3"/>
    </row>
    <row r="324" spans="9:10" ht="14.6" x14ac:dyDescent="0.4">
      <c r="I324" s="3"/>
      <c r="J324" s="3"/>
    </row>
    <row r="325" spans="9:10" ht="14.6" x14ac:dyDescent="0.4">
      <c r="I325" s="3"/>
      <c r="J325" s="3"/>
    </row>
    <row r="326" spans="9:10" ht="14.6" x14ac:dyDescent="0.4">
      <c r="I326" s="3"/>
      <c r="J326" s="3"/>
    </row>
    <row r="327" spans="9:10" ht="14.6" x14ac:dyDescent="0.4">
      <c r="I327" s="3"/>
      <c r="J327" s="3"/>
    </row>
    <row r="328" spans="9:10" ht="14.6" x14ac:dyDescent="0.4">
      <c r="I328" s="3"/>
      <c r="J328" s="3"/>
    </row>
    <row r="329" spans="9:10" ht="14.6" x14ac:dyDescent="0.4">
      <c r="I329" s="3"/>
      <c r="J329" s="3"/>
    </row>
    <row r="330" spans="9:10" ht="14.6" x14ac:dyDescent="0.4">
      <c r="I330" s="3"/>
      <c r="J330" s="3"/>
    </row>
    <row r="331" spans="9:10" ht="14.6" x14ac:dyDescent="0.4">
      <c r="I331" s="3"/>
      <c r="J331" s="3"/>
    </row>
    <row r="332" spans="9:10" ht="14.6" x14ac:dyDescent="0.4">
      <c r="I332" s="3"/>
      <c r="J332" s="3"/>
    </row>
    <row r="333" spans="9:10" ht="14.6" x14ac:dyDescent="0.4">
      <c r="I333" s="3"/>
      <c r="J333" s="3"/>
    </row>
    <row r="334" spans="9:10" ht="14.6" x14ac:dyDescent="0.4">
      <c r="I334" s="3"/>
      <c r="J334" s="3"/>
    </row>
    <row r="335" spans="9:10" ht="14.6" x14ac:dyDescent="0.4">
      <c r="I335" s="3"/>
      <c r="J335" s="3"/>
    </row>
    <row r="336" spans="9:10" ht="14.6" x14ac:dyDescent="0.4">
      <c r="I336" s="3"/>
      <c r="J336" s="3"/>
    </row>
    <row r="337" spans="9:10" ht="14.6" x14ac:dyDescent="0.4">
      <c r="I337" s="3"/>
      <c r="J337" s="3"/>
    </row>
    <row r="338" spans="9:10" ht="14.6" x14ac:dyDescent="0.4">
      <c r="I338" s="3"/>
      <c r="J338" s="3"/>
    </row>
    <row r="339" spans="9:10" ht="14.6" x14ac:dyDescent="0.4">
      <c r="I339" s="3"/>
      <c r="J339" s="3"/>
    </row>
    <row r="340" spans="9:10" ht="14.6" x14ac:dyDescent="0.4">
      <c r="I340" s="3"/>
      <c r="J340" s="3"/>
    </row>
    <row r="341" spans="9:10" ht="14.6" x14ac:dyDescent="0.4">
      <c r="I341" s="3"/>
      <c r="J341" s="3"/>
    </row>
    <row r="342" spans="9:10" ht="14.6" x14ac:dyDescent="0.4">
      <c r="I342" s="3"/>
      <c r="J342" s="3"/>
    </row>
    <row r="343" spans="9:10" ht="14.6" x14ac:dyDescent="0.4">
      <c r="I343" s="3"/>
      <c r="J343" s="3"/>
    </row>
    <row r="344" spans="9:10" ht="14.6" x14ac:dyDescent="0.4">
      <c r="I344" s="3"/>
      <c r="J344" s="3"/>
    </row>
    <row r="345" spans="9:10" ht="14.6" x14ac:dyDescent="0.4">
      <c r="I345" s="3"/>
      <c r="J345" s="3"/>
    </row>
    <row r="346" spans="9:10" ht="14.6" x14ac:dyDescent="0.4">
      <c r="I346" s="3"/>
      <c r="J346" s="3"/>
    </row>
    <row r="347" spans="9:10" ht="14.6" x14ac:dyDescent="0.4">
      <c r="I347" s="3"/>
      <c r="J347" s="3"/>
    </row>
    <row r="348" spans="9:10" ht="14.6" x14ac:dyDescent="0.4">
      <c r="I348" s="3"/>
      <c r="J348" s="3"/>
    </row>
    <row r="349" spans="9:10" ht="14.6" x14ac:dyDescent="0.4">
      <c r="I349" s="3"/>
      <c r="J349" s="3"/>
    </row>
    <row r="350" spans="9:10" ht="14.6" x14ac:dyDescent="0.4">
      <c r="I350" s="3"/>
      <c r="J350" s="3"/>
    </row>
    <row r="351" spans="9:10" ht="14.6" x14ac:dyDescent="0.4">
      <c r="I351" s="3"/>
      <c r="J351" s="3"/>
    </row>
    <row r="352" spans="9:10" ht="14.6" x14ac:dyDescent="0.4">
      <c r="I352" s="3"/>
      <c r="J352" s="3"/>
    </row>
    <row r="353" spans="9:10" ht="14.6" x14ac:dyDescent="0.4">
      <c r="I353" s="3"/>
      <c r="J353" s="3"/>
    </row>
    <row r="354" spans="9:10" ht="14.6" x14ac:dyDescent="0.4">
      <c r="I354" s="3"/>
      <c r="J354" s="3"/>
    </row>
    <row r="355" spans="9:10" ht="14.6" x14ac:dyDescent="0.4">
      <c r="I355" s="3"/>
      <c r="J355" s="3"/>
    </row>
    <row r="356" spans="9:10" ht="14.6" x14ac:dyDescent="0.4">
      <c r="I356" s="3"/>
      <c r="J356" s="3"/>
    </row>
    <row r="357" spans="9:10" ht="14.6" x14ac:dyDescent="0.4">
      <c r="I357" s="3"/>
      <c r="J357" s="3"/>
    </row>
    <row r="358" spans="9:10" ht="14.6" x14ac:dyDescent="0.4">
      <c r="I358" s="3"/>
      <c r="J358" s="3"/>
    </row>
    <row r="359" spans="9:10" ht="14.6" x14ac:dyDescent="0.4">
      <c r="I359" s="3"/>
      <c r="J359" s="3"/>
    </row>
    <row r="360" spans="9:10" ht="14.6" x14ac:dyDescent="0.4">
      <c r="I360" s="3"/>
      <c r="J360" s="3"/>
    </row>
    <row r="361" spans="9:10" ht="14.6" x14ac:dyDescent="0.4">
      <c r="I361" s="3"/>
      <c r="J361" s="3"/>
    </row>
    <row r="362" spans="9:10" ht="14.6" x14ac:dyDescent="0.4">
      <c r="I362" s="3"/>
      <c r="J362" s="3"/>
    </row>
    <row r="363" spans="9:10" ht="14.6" x14ac:dyDescent="0.4">
      <c r="I363" s="3"/>
      <c r="J363" s="3"/>
    </row>
    <row r="364" spans="9:10" ht="14.6" x14ac:dyDescent="0.4">
      <c r="I364" s="3"/>
      <c r="J364" s="3"/>
    </row>
    <row r="365" spans="9:10" ht="14.6" x14ac:dyDescent="0.4">
      <c r="I365" s="3"/>
      <c r="J365" s="3"/>
    </row>
    <row r="366" spans="9:10" ht="14.6" x14ac:dyDescent="0.4">
      <c r="I366" s="3"/>
      <c r="J366" s="3"/>
    </row>
    <row r="367" spans="9:10" ht="14.6" x14ac:dyDescent="0.4">
      <c r="I367" s="3"/>
      <c r="J367" s="3"/>
    </row>
    <row r="368" spans="9:10" ht="14.6" x14ac:dyDescent="0.4">
      <c r="I368" s="3"/>
      <c r="J368" s="3"/>
    </row>
    <row r="369" spans="9:10" ht="14.6" x14ac:dyDescent="0.4">
      <c r="I369" s="3"/>
      <c r="J369" s="3"/>
    </row>
    <row r="370" spans="9:10" ht="14.6" x14ac:dyDescent="0.4">
      <c r="I370" s="3"/>
      <c r="J370" s="3"/>
    </row>
    <row r="371" spans="9:10" ht="14.6" x14ac:dyDescent="0.4">
      <c r="I371" s="3"/>
      <c r="J371" s="3"/>
    </row>
    <row r="372" spans="9:10" ht="14.6" x14ac:dyDescent="0.4">
      <c r="I372" s="3"/>
      <c r="J372" s="3"/>
    </row>
    <row r="373" spans="9:10" ht="14.6" x14ac:dyDescent="0.4">
      <c r="I373" s="3"/>
      <c r="J373" s="3"/>
    </row>
    <row r="374" spans="9:10" ht="14.6" x14ac:dyDescent="0.4">
      <c r="I374" s="3"/>
      <c r="J374" s="3"/>
    </row>
    <row r="375" spans="9:10" ht="14.6" x14ac:dyDescent="0.4">
      <c r="I375" s="3"/>
      <c r="J375" s="3"/>
    </row>
    <row r="376" spans="9:10" ht="14.6" x14ac:dyDescent="0.4">
      <c r="I376" s="3"/>
      <c r="J376" s="3"/>
    </row>
    <row r="377" spans="9:10" ht="14.6" x14ac:dyDescent="0.4">
      <c r="I377" s="3"/>
      <c r="J377" s="3"/>
    </row>
    <row r="378" spans="9:10" ht="14.6" x14ac:dyDescent="0.4">
      <c r="I378" s="3"/>
      <c r="J378" s="3"/>
    </row>
    <row r="379" spans="9:10" ht="14.6" x14ac:dyDescent="0.4">
      <c r="I379" s="3"/>
      <c r="J379" s="3"/>
    </row>
    <row r="380" spans="9:10" ht="14.6" x14ac:dyDescent="0.4">
      <c r="I380" s="3"/>
      <c r="J380" s="3"/>
    </row>
    <row r="381" spans="9:10" ht="14.6" x14ac:dyDescent="0.4">
      <c r="I381" s="3"/>
      <c r="J381" s="3"/>
    </row>
    <row r="382" spans="9:10" ht="14.6" x14ac:dyDescent="0.4">
      <c r="I382" s="3"/>
      <c r="J382" s="3"/>
    </row>
    <row r="383" spans="9:10" ht="14.6" x14ac:dyDescent="0.4">
      <c r="I383" s="3"/>
      <c r="J383" s="3"/>
    </row>
    <row r="384" spans="9:10" ht="14.6" x14ac:dyDescent="0.4">
      <c r="I384" s="3"/>
      <c r="J384" s="3"/>
    </row>
    <row r="385" spans="9:10" ht="14.6" x14ac:dyDescent="0.4">
      <c r="I385" s="3"/>
      <c r="J385" s="3"/>
    </row>
    <row r="386" spans="9:10" ht="14.6" x14ac:dyDescent="0.4">
      <c r="I386" s="3"/>
      <c r="J386" s="3"/>
    </row>
    <row r="387" spans="9:10" ht="14.6" x14ac:dyDescent="0.4">
      <c r="I387" s="3"/>
      <c r="J387" s="3"/>
    </row>
    <row r="388" spans="9:10" ht="14.6" x14ac:dyDescent="0.4">
      <c r="I388" s="3"/>
      <c r="J388" s="3"/>
    </row>
    <row r="389" spans="9:10" ht="14.6" x14ac:dyDescent="0.4">
      <c r="I389" s="3"/>
      <c r="J389" s="3"/>
    </row>
    <row r="390" spans="9:10" ht="14.6" x14ac:dyDescent="0.4">
      <c r="I390" s="3"/>
      <c r="J390" s="3"/>
    </row>
    <row r="391" spans="9:10" ht="14.6" x14ac:dyDescent="0.4">
      <c r="I391" s="3"/>
      <c r="J391" s="3"/>
    </row>
    <row r="392" spans="9:10" ht="14.6" x14ac:dyDescent="0.4">
      <c r="I392" s="3"/>
      <c r="J392" s="3"/>
    </row>
    <row r="393" spans="9:10" ht="14.6" x14ac:dyDescent="0.4">
      <c r="I393" s="3"/>
      <c r="J393" s="3"/>
    </row>
    <row r="394" spans="9:10" ht="14.6" x14ac:dyDescent="0.4">
      <c r="I394" s="3"/>
      <c r="J394" s="3"/>
    </row>
    <row r="395" spans="9:10" ht="14.6" x14ac:dyDescent="0.4">
      <c r="I395" s="3"/>
      <c r="J395" s="3"/>
    </row>
    <row r="396" spans="9:10" ht="14.6" x14ac:dyDescent="0.4">
      <c r="I396" s="3"/>
      <c r="J396" s="3"/>
    </row>
    <row r="397" spans="9:10" ht="14.6" x14ac:dyDescent="0.4">
      <c r="I397" s="3"/>
      <c r="J397" s="3"/>
    </row>
    <row r="398" spans="9:10" ht="14.6" x14ac:dyDescent="0.4">
      <c r="I398" s="3"/>
      <c r="J398" s="3"/>
    </row>
    <row r="399" spans="9:10" ht="14.6" x14ac:dyDescent="0.4">
      <c r="I399" s="3"/>
      <c r="J399" s="3"/>
    </row>
    <row r="400" spans="9:10" ht="14.6" x14ac:dyDescent="0.4">
      <c r="I400" s="3"/>
      <c r="J400" s="3"/>
    </row>
    <row r="401" spans="9:10" ht="14.6" x14ac:dyDescent="0.4">
      <c r="I401" s="3"/>
      <c r="J401" s="3"/>
    </row>
    <row r="402" spans="9:10" ht="14.6" x14ac:dyDescent="0.4">
      <c r="I402" s="3"/>
      <c r="J402" s="3"/>
    </row>
    <row r="403" spans="9:10" ht="14.6" x14ac:dyDescent="0.4">
      <c r="I403" s="3"/>
      <c r="J403" s="3"/>
    </row>
    <row r="404" spans="9:10" ht="14.6" x14ac:dyDescent="0.4">
      <c r="I404" s="3"/>
      <c r="J404" s="3"/>
    </row>
    <row r="405" spans="9:10" ht="14.6" x14ac:dyDescent="0.4">
      <c r="I405" s="3"/>
      <c r="J405" s="3"/>
    </row>
    <row r="406" spans="9:10" ht="14.6" x14ac:dyDescent="0.4">
      <c r="I406" s="3"/>
      <c r="J406" s="3"/>
    </row>
    <row r="407" spans="9:10" ht="14.6" x14ac:dyDescent="0.4">
      <c r="I407" s="3"/>
      <c r="J407" s="3"/>
    </row>
    <row r="408" spans="9:10" ht="14.6" x14ac:dyDescent="0.4">
      <c r="I408" s="3"/>
      <c r="J408" s="3"/>
    </row>
    <row r="409" spans="9:10" ht="14.6" x14ac:dyDescent="0.4">
      <c r="I409" s="3"/>
      <c r="J409" s="3"/>
    </row>
    <row r="410" spans="9:10" ht="14.6" x14ac:dyDescent="0.4">
      <c r="I410" s="3"/>
      <c r="J410" s="3"/>
    </row>
    <row r="411" spans="9:10" ht="14.6" x14ac:dyDescent="0.4">
      <c r="I411" s="3"/>
      <c r="J411" s="3"/>
    </row>
    <row r="412" spans="9:10" ht="14.6" x14ac:dyDescent="0.4">
      <c r="I412" s="3"/>
      <c r="J412" s="3"/>
    </row>
    <row r="413" spans="9:10" ht="14.6" x14ac:dyDescent="0.4">
      <c r="I413" s="3"/>
      <c r="J413" s="3"/>
    </row>
    <row r="414" spans="9:10" ht="14.6" x14ac:dyDescent="0.4">
      <c r="I414" s="3"/>
      <c r="J414" s="3"/>
    </row>
    <row r="415" spans="9:10" ht="14.6" x14ac:dyDescent="0.4">
      <c r="I415" s="3"/>
      <c r="J415" s="3"/>
    </row>
    <row r="416" spans="9:10" ht="14.6" x14ac:dyDescent="0.4">
      <c r="I416" s="3"/>
      <c r="J416" s="3"/>
    </row>
    <row r="417" spans="9:10" ht="14.6" x14ac:dyDescent="0.4">
      <c r="I417" s="3"/>
      <c r="J417" s="3"/>
    </row>
    <row r="418" spans="9:10" ht="14.6" x14ac:dyDescent="0.4">
      <c r="I418" s="3"/>
      <c r="J418" s="3"/>
    </row>
    <row r="419" spans="9:10" ht="14.6" x14ac:dyDescent="0.4">
      <c r="I419" s="3"/>
      <c r="J419" s="3"/>
    </row>
    <row r="420" spans="9:10" ht="14.6" x14ac:dyDescent="0.4">
      <c r="I420" s="3"/>
      <c r="J420" s="3"/>
    </row>
    <row r="421" spans="9:10" ht="14.6" x14ac:dyDescent="0.4">
      <c r="I421" s="3"/>
      <c r="J421" s="3"/>
    </row>
    <row r="422" spans="9:10" ht="14.6" x14ac:dyDescent="0.4">
      <c r="I422" s="3"/>
      <c r="J422" s="3"/>
    </row>
    <row r="423" spans="9:10" ht="14.6" x14ac:dyDescent="0.4">
      <c r="I423" s="3"/>
      <c r="J423" s="3"/>
    </row>
    <row r="424" spans="9:10" ht="14.6" x14ac:dyDescent="0.4">
      <c r="I424" s="3"/>
      <c r="J424" s="3"/>
    </row>
    <row r="425" spans="9:10" ht="14.6" x14ac:dyDescent="0.4">
      <c r="I425" s="3"/>
      <c r="J425" s="3"/>
    </row>
    <row r="426" spans="9:10" ht="14.6" x14ac:dyDescent="0.4">
      <c r="I426" s="3"/>
      <c r="J426" s="3"/>
    </row>
    <row r="427" spans="9:10" ht="14.6" x14ac:dyDescent="0.4">
      <c r="I427" s="3"/>
      <c r="J427" s="3"/>
    </row>
    <row r="428" spans="9:10" ht="14.6" x14ac:dyDescent="0.4">
      <c r="I428" s="3"/>
      <c r="J428" s="3"/>
    </row>
    <row r="429" spans="9:10" ht="14.6" x14ac:dyDescent="0.4">
      <c r="I429" s="3"/>
      <c r="J429" s="3"/>
    </row>
    <row r="430" spans="9:10" ht="14.6" x14ac:dyDescent="0.4">
      <c r="I430" s="3"/>
      <c r="J430" s="3"/>
    </row>
    <row r="431" spans="9:10" ht="14.6" x14ac:dyDescent="0.4">
      <c r="I431" s="3"/>
      <c r="J431" s="3"/>
    </row>
    <row r="432" spans="9:10" ht="14.6" x14ac:dyDescent="0.4">
      <c r="I432" s="3"/>
      <c r="J432" s="3"/>
    </row>
    <row r="433" spans="9:10" ht="14.6" x14ac:dyDescent="0.4">
      <c r="I433" s="3"/>
      <c r="J433" s="3"/>
    </row>
    <row r="434" spans="9:10" ht="14.6" x14ac:dyDescent="0.4">
      <c r="I434" s="3"/>
      <c r="J434" s="3"/>
    </row>
    <row r="435" spans="9:10" ht="14.6" x14ac:dyDescent="0.4">
      <c r="I435" s="3"/>
      <c r="J435" s="3"/>
    </row>
    <row r="436" spans="9:10" ht="14.6" x14ac:dyDescent="0.4">
      <c r="I436" s="3"/>
      <c r="J436" s="3"/>
    </row>
    <row r="437" spans="9:10" ht="14.6" x14ac:dyDescent="0.4">
      <c r="I437" s="3"/>
      <c r="J437" s="3"/>
    </row>
    <row r="438" spans="9:10" ht="14.6" x14ac:dyDescent="0.4">
      <c r="I438" s="3"/>
      <c r="J438" s="3"/>
    </row>
    <row r="439" spans="9:10" ht="14.6" x14ac:dyDescent="0.4">
      <c r="I439" s="3"/>
      <c r="J439" s="3"/>
    </row>
    <row r="440" spans="9:10" ht="14.6" x14ac:dyDescent="0.4">
      <c r="I440" s="3"/>
      <c r="J440" s="3"/>
    </row>
    <row r="441" spans="9:10" ht="14.6" x14ac:dyDescent="0.4">
      <c r="I441" s="3"/>
      <c r="J441" s="3"/>
    </row>
    <row r="442" spans="9:10" ht="14.6" x14ac:dyDescent="0.4">
      <c r="I442" s="3"/>
      <c r="J442" s="3"/>
    </row>
    <row r="443" spans="9:10" ht="14.6" x14ac:dyDescent="0.4">
      <c r="I443" s="3"/>
      <c r="J443" s="3"/>
    </row>
    <row r="444" spans="9:10" ht="14.6" x14ac:dyDescent="0.4">
      <c r="I444" s="3"/>
      <c r="J444" s="3"/>
    </row>
    <row r="445" spans="9:10" ht="14.6" x14ac:dyDescent="0.4">
      <c r="I445" s="3"/>
      <c r="J445" s="3"/>
    </row>
    <row r="446" spans="9:10" ht="14.6" x14ac:dyDescent="0.4">
      <c r="I446" s="3"/>
      <c r="J446" s="3"/>
    </row>
    <row r="447" spans="9:10" ht="14.6" x14ac:dyDescent="0.4">
      <c r="I447" s="3"/>
      <c r="J447" s="3"/>
    </row>
    <row r="448" spans="9:10" ht="14.6" x14ac:dyDescent="0.4">
      <c r="I448" s="3"/>
      <c r="J448" s="3"/>
    </row>
    <row r="449" spans="9:10" ht="14.6" x14ac:dyDescent="0.4">
      <c r="I449" s="3"/>
      <c r="J449" s="3"/>
    </row>
    <row r="450" spans="9:10" ht="14.6" x14ac:dyDescent="0.4">
      <c r="I450" s="3"/>
      <c r="J450" s="3"/>
    </row>
    <row r="451" spans="9:10" ht="14.6" x14ac:dyDescent="0.4">
      <c r="I451" s="3"/>
      <c r="J451" s="3"/>
    </row>
    <row r="452" spans="9:10" ht="14.6" x14ac:dyDescent="0.4">
      <c r="I452" s="3"/>
      <c r="J452" s="3"/>
    </row>
    <row r="453" spans="9:10" ht="14.6" x14ac:dyDescent="0.4">
      <c r="I453" s="3"/>
      <c r="J453" s="3"/>
    </row>
    <row r="454" spans="9:10" ht="14.6" x14ac:dyDescent="0.4">
      <c r="I454" s="3"/>
      <c r="J454" s="3"/>
    </row>
    <row r="455" spans="9:10" ht="14.6" x14ac:dyDescent="0.4">
      <c r="I455" s="3"/>
      <c r="J455" s="3"/>
    </row>
    <row r="456" spans="9:10" ht="14.6" x14ac:dyDescent="0.4">
      <c r="I456" s="3"/>
      <c r="J456" s="3"/>
    </row>
    <row r="457" spans="9:10" ht="14.6" x14ac:dyDescent="0.4">
      <c r="I457" s="3"/>
      <c r="J457" s="3"/>
    </row>
    <row r="458" spans="9:10" ht="14.6" x14ac:dyDescent="0.4">
      <c r="I458" s="3"/>
      <c r="J458" s="3"/>
    </row>
    <row r="459" spans="9:10" ht="14.6" x14ac:dyDescent="0.4">
      <c r="I459" s="3"/>
      <c r="J459" s="3"/>
    </row>
    <row r="460" spans="9:10" ht="14.6" x14ac:dyDescent="0.4">
      <c r="I460" s="3"/>
      <c r="J460" s="3"/>
    </row>
    <row r="461" spans="9:10" ht="14.6" x14ac:dyDescent="0.4">
      <c r="I461" s="3"/>
      <c r="J461" s="3"/>
    </row>
    <row r="462" spans="9:10" ht="14.6" x14ac:dyDescent="0.4">
      <c r="I462" s="3"/>
      <c r="J462" s="3"/>
    </row>
    <row r="463" spans="9:10" ht="14.6" x14ac:dyDescent="0.4">
      <c r="I463" s="3"/>
      <c r="J463" s="3"/>
    </row>
    <row r="464" spans="9:10" ht="14.6" x14ac:dyDescent="0.4">
      <c r="I464" s="3"/>
      <c r="J464" s="3"/>
    </row>
    <row r="465" spans="9:10" ht="14.6" x14ac:dyDescent="0.4">
      <c r="I465" s="3"/>
      <c r="J465" s="3"/>
    </row>
    <row r="466" spans="9:10" ht="14.6" x14ac:dyDescent="0.4">
      <c r="I466" s="3"/>
      <c r="J466" s="3"/>
    </row>
    <row r="467" spans="9:10" ht="14.6" x14ac:dyDescent="0.4">
      <c r="I467" s="3"/>
      <c r="J467" s="3"/>
    </row>
    <row r="468" spans="9:10" ht="14.6" x14ac:dyDescent="0.4">
      <c r="I468" s="3"/>
      <c r="J468" s="3"/>
    </row>
    <row r="469" spans="9:10" ht="14.6" x14ac:dyDescent="0.4">
      <c r="I469" s="3"/>
      <c r="J469" s="3"/>
    </row>
    <row r="470" spans="9:10" ht="14.6" x14ac:dyDescent="0.4">
      <c r="I470" s="3"/>
      <c r="J470" s="3"/>
    </row>
    <row r="471" spans="9:10" ht="14.6" x14ac:dyDescent="0.4">
      <c r="I471" s="3"/>
      <c r="J471" s="3"/>
    </row>
    <row r="472" spans="9:10" ht="14.6" x14ac:dyDescent="0.4">
      <c r="I472" s="3"/>
      <c r="J472" s="3"/>
    </row>
    <row r="473" spans="9:10" ht="14.6" x14ac:dyDescent="0.4">
      <c r="I473" s="3"/>
      <c r="J473" s="3"/>
    </row>
    <row r="474" spans="9:10" ht="14.6" x14ac:dyDescent="0.4">
      <c r="I474" s="3"/>
      <c r="J474" s="3"/>
    </row>
    <row r="475" spans="9:10" ht="14.6" x14ac:dyDescent="0.4">
      <c r="I475" s="3"/>
      <c r="J475" s="3"/>
    </row>
    <row r="476" spans="9:10" ht="14.6" x14ac:dyDescent="0.4">
      <c r="I476" s="3"/>
      <c r="J476" s="3"/>
    </row>
    <row r="477" spans="9:10" ht="14.6" x14ac:dyDescent="0.4">
      <c r="I477" s="3"/>
      <c r="J477" s="3"/>
    </row>
    <row r="478" spans="9:10" ht="14.6" x14ac:dyDescent="0.4">
      <c r="I478" s="3"/>
      <c r="J478" s="3"/>
    </row>
    <row r="479" spans="9:10" ht="14.6" x14ac:dyDescent="0.4">
      <c r="I479" s="3"/>
      <c r="J479" s="3"/>
    </row>
    <row r="480" spans="9:10" ht="14.6" x14ac:dyDescent="0.4">
      <c r="I480" s="3"/>
      <c r="J480" s="3"/>
    </row>
    <row r="481" spans="9:10" ht="14.6" x14ac:dyDescent="0.4">
      <c r="I481" s="3"/>
      <c r="J481" s="3"/>
    </row>
    <row r="482" spans="9:10" ht="14.6" x14ac:dyDescent="0.4">
      <c r="I482" s="3"/>
      <c r="J482" s="3"/>
    </row>
    <row r="483" spans="9:10" ht="14.6" x14ac:dyDescent="0.4">
      <c r="I483" s="3"/>
      <c r="J483" s="3"/>
    </row>
    <row r="484" spans="9:10" ht="14.6" x14ac:dyDescent="0.4">
      <c r="I484" s="3"/>
      <c r="J484" s="3"/>
    </row>
    <row r="485" spans="9:10" ht="14.6" x14ac:dyDescent="0.4">
      <c r="I485" s="3"/>
      <c r="J485" s="3"/>
    </row>
    <row r="486" spans="9:10" ht="14.6" x14ac:dyDescent="0.4">
      <c r="I486" s="3"/>
      <c r="J486" s="3"/>
    </row>
    <row r="487" spans="9:10" ht="14.6" x14ac:dyDescent="0.4">
      <c r="I487" s="3"/>
      <c r="J487" s="3"/>
    </row>
    <row r="488" spans="9:10" ht="14.6" x14ac:dyDescent="0.4">
      <c r="I488" s="3"/>
      <c r="J488" s="3"/>
    </row>
    <row r="489" spans="9:10" ht="14.6" x14ac:dyDescent="0.4">
      <c r="I489" s="3"/>
      <c r="J489" s="3"/>
    </row>
    <row r="490" spans="9:10" ht="14.6" x14ac:dyDescent="0.4">
      <c r="I490" s="3"/>
      <c r="J490" s="3"/>
    </row>
    <row r="491" spans="9:10" ht="14.6" x14ac:dyDescent="0.4">
      <c r="I491" s="3"/>
      <c r="J491" s="3"/>
    </row>
    <row r="492" spans="9:10" ht="14.6" x14ac:dyDescent="0.4">
      <c r="I492" s="3"/>
      <c r="J492" s="3"/>
    </row>
    <row r="493" spans="9:10" ht="14.6" x14ac:dyDescent="0.4">
      <c r="I493" s="3"/>
      <c r="J493" s="3"/>
    </row>
    <row r="494" spans="9:10" ht="14.6" x14ac:dyDescent="0.4">
      <c r="I494" s="3"/>
      <c r="J494" s="3"/>
    </row>
    <row r="495" spans="9:10" ht="14.6" x14ac:dyDescent="0.4">
      <c r="I495" s="3"/>
      <c r="J495" s="3"/>
    </row>
    <row r="496" spans="9:10" ht="14.6" x14ac:dyDescent="0.4">
      <c r="I496" s="3"/>
      <c r="J496" s="3"/>
    </row>
    <row r="497" spans="9:10" ht="14.6" x14ac:dyDescent="0.4">
      <c r="I497" s="3"/>
      <c r="J497" s="3"/>
    </row>
    <row r="498" spans="9:10" ht="14.6" x14ac:dyDescent="0.4">
      <c r="I498" s="3"/>
      <c r="J498" s="3"/>
    </row>
    <row r="499" spans="9:10" ht="14.6" x14ac:dyDescent="0.4">
      <c r="I499" s="3"/>
      <c r="J499" s="3"/>
    </row>
    <row r="500" spans="9:10" ht="14.6" x14ac:dyDescent="0.4">
      <c r="I500" s="3"/>
      <c r="J500" s="3"/>
    </row>
    <row r="501" spans="9:10" ht="14.6" x14ac:dyDescent="0.4">
      <c r="I501" s="3"/>
      <c r="J501" s="3"/>
    </row>
    <row r="502" spans="9:10" ht="14.6" x14ac:dyDescent="0.4">
      <c r="I502" s="3"/>
      <c r="J502" s="3"/>
    </row>
    <row r="503" spans="9:10" ht="14.6" x14ac:dyDescent="0.4">
      <c r="I503" s="3"/>
      <c r="J503" s="3"/>
    </row>
    <row r="504" spans="9:10" ht="14.6" x14ac:dyDescent="0.4">
      <c r="I504" s="3"/>
      <c r="J504" s="3"/>
    </row>
    <row r="505" spans="9:10" ht="14.6" x14ac:dyDescent="0.4">
      <c r="I505" s="3"/>
      <c r="J505" s="3"/>
    </row>
    <row r="506" spans="9:10" ht="14.6" x14ac:dyDescent="0.4">
      <c r="I506" s="3"/>
      <c r="J506" s="3"/>
    </row>
    <row r="507" spans="9:10" ht="14.6" x14ac:dyDescent="0.4">
      <c r="I507" s="3"/>
      <c r="J507" s="3"/>
    </row>
    <row r="508" spans="9:10" ht="14.6" x14ac:dyDescent="0.4">
      <c r="I508" s="3"/>
      <c r="J508" s="3"/>
    </row>
    <row r="509" spans="9:10" ht="14.6" x14ac:dyDescent="0.4">
      <c r="I509" s="3"/>
      <c r="J509" s="3"/>
    </row>
    <row r="510" spans="9:10" ht="14.6" x14ac:dyDescent="0.4">
      <c r="I510" s="3"/>
      <c r="J510" s="3"/>
    </row>
    <row r="511" spans="9:10" ht="14.6" x14ac:dyDescent="0.4">
      <c r="I511" s="3"/>
      <c r="J511" s="3"/>
    </row>
    <row r="512" spans="9:10" ht="14.6" x14ac:dyDescent="0.4">
      <c r="I512" s="3"/>
      <c r="J512" s="3"/>
    </row>
    <row r="513" spans="9:10" ht="14.6" x14ac:dyDescent="0.4">
      <c r="I513" s="3"/>
      <c r="J513" s="3"/>
    </row>
    <row r="514" spans="9:10" ht="14.6" x14ac:dyDescent="0.4">
      <c r="I514" s="3"/>
      <c r="J514" s="3"/>
    </row>
    <row r="515" spans="9:10" ht="14.6" x14ac:dyDescent="0.4">
      <c r="I515" s="3"/>
      <c r="J515" s="3"/>
    </row>
    <row r="516" spans="9:10" ht="14.6" x14ac:dyDescent="0.4">
      <c r="I516" s="3"/>
      <c r="J516" s="3"/>
    </row>
    <row r="517" spans="9:10" ht="14.6" x14ac:dyDescent="0.4">
      <c r="I517" s="3"/>
      <c r="J517" s="3"/>
    </row>
    <row r="518" spans="9:10" ht="14.6" x14ac:dyDescent="0.4">
      <c r="I518" s="3"/>
      <c r="J518" s="3"/>
    </row>
    <row r="519" spans="9:10" ht="14.6" x14ac:dyDescent="0.4">
      <c r="I519" s="3"/>
      <c r="J519" s="3"/>
    </row>
    <row r="520" spans="9:10" ht="14.6" x14ac:dyDescent="0.4">
      <c r="I520" s="3"/>
      <c r="J520" s="3"/>
    </row>
    <row r="521" spans="9:10" ht="14.6" x14ac:dyDescent="0.4">
      <c r="I521" s="3"/>
      <c r="J521" s="3"/>
    </row>
    <row r="522" spans="9:10" ht="14.6" x14ac:dyDescent="0.4">
      <c r="I522" s="3"/>
      <c r="J522" s="3"/>
    </row>
    <row r="523" spans="9:10" ht="14.6" x14ac:dyDescent="0.4">
      <c r="I523" s="3"/>
      <c r="J523" s="3"/>
    </row>
    <row r="524" spans="9:10" ht="14.6" x14ac:dyDescent="0.4">
      <c r="I524" s="3"/>
      <c r="J524" s="3"/>
    </row>
    <row r="525" spans="9:10" ht="14.6" x14ac:dyDescent="0.4">
      <c r="I525" s="3"/>
      <c r="J525" s="3"/>
    </row>
    <row r="526" spans="9:10" ht="14.6" x14ac:dyDescent="0.4">
      <c r="I526" s="3"/>
      <c r="J526" s="3"/>
    </row>
    <row r="527" spans="9:10" ht="14.6" x14ac:dyDescent="0.4">
      <c r="I527" s="3"/>
      <c r="J527" s="3"/>
    </row>
    <row r="528" spans="9:10" ht="14.6" x14ac:dyDescent="0.4">
      <c r="I528" s="3"/>
      <c r="J528" s="3"/>
    </row>
    <row r="529" spans="9:10" ht="14.6" x14ac:dyDescent="0.4">
      <c r="I529" s="3"/>
      <c r="J529" s="3"/>
    </row>
    <row r="530" spans="9:10" ht="14.6" x14ac:dyDescent="0.4">
      <c r="I530" s="3"/>
      <c r="J530" s="3"/>
    </row>
    <row r="531" spans="9:10" ht="14.6" x14ac:dyDescent="0.4">
      <c r="I531" s="3"/>
      <c r="J531" s="3"/>
    </row>
    <row r="532" spans="9:10" ht="14.6" x14ac:dyDescent="0.4">
      <c r="I532" s="3"/>
      <c r="J532" s="3"/>
    </row>
    <row r="533" spans="9:10" ht="14.6" x14ac:dyDescent="0.4">
      <c r="I533" s="3"/>
      <c r="J533" s="3"/>
    </row>
    <row r="534" spans="9:10" ht="14.6" x14ac:dyDescent="0.4">
      <c r="I534" s="3"/>
      <c r="J534" s="3"/>
    </row>
    <row r="535" spans="9:10" ht="14.6" x14ac:dyDescent="0.4">
      <c r="I535" s="3"/>
      <c r="J535" s="3"/>
    </row>
    <row r="536" spans="9:10" ht="14.6" x14ac:dyDescent="0.4">
      <c r="I536" s="3"/>
      <c r="J536" s="3"/>
    </row>
    <row r="537" spans="9:10" ht="14.6" x14ac:dyDescent="0.4">
      <c r="I537" s="3"/>
      <c r="J537" s="3"/>
    </row>
    <row r="538" spans="9:10" ht="14.6" x14ac:dyDescent="0.4">
      <c r="I538" s="3"/>
      <c r="J538" s="3"/>
    </row>
    <row r="539" spans="9:10" ht="14.6" x14ac:dyDescent="0.4">
      <c r="I539" s="3"/>
      <c r="J539" s="3"/>
    </row>
    <row r="540" spans="9:10" ht="14.6" x14ac:dyDescent="0.4">
      <c r="I540" s="3"/>
      <c r="J540" s="3"/>
    </row>
    <row r="541" spans="9:10" ht="14.6" x14ac:dyDescent="0.4">
      <c r="I541" s="3"/>
      <c r="J541" s="3"/>
    </row>
    <row r="542" spans="9:10" ht="14.6" x14ac:dyDescent="0.4">
      <c r="I542" s="3"/>
      <c r="J542" s="3"/>
    </row>
    <row r="543" spans="9:10" ht="14.6" x14ac:dyDescent="0.4">
      <c r="I543" s="3"/>
      <c r="J543" s="3"/>
    </row>
    <row r="544" spans="9:10" ht="14.6" x14ac:dyDescent="0.4">
      <c r="I544" s="3"/>
      <c r="J544" s="3"/>
    </row>
    <row r="545" spans="9:10" ht="14.6" x14ac:dyDescent="0.4">
      <c r="I545" s="3"/>
      <c r="J545" s="3"/>
    </row>
    <row r="546" spans="9:10" ht="14.6" x14ac:dyDescent="0.4">
      <c r="I546" s="3"/>
      <c r="J546" s="3"/>
    </row>
    <row r="547" spans="9:10" ht="14.6" x14ac:dyDescent="0.4">
      <c r="I547" s="3"/>
      <c r="J547" s="3"/>
    </row>
    <row r="548" spans="9:10" ht="14.6" x14ac:dyDescent="0.4">
      <c r="I548" s="3"/>
      <c r="J548" s="3"/>
    </row>
    <row r="549" spans="9:10" ht="14.6" x14ac:dyDescent="0.4">
      <c r="I549" s="3"/>
      <c r="J549" s="3"/>
    </row>
    <row r="550" spans="9:10" ht="14.6" x14ac:dyDescent="0.4">
      <c r="I550" s="3"/>
      <c r="J550" s="3"/>
    </row>
    <row r="551" spans="9:10" ht="14.6" x14ac:dyDescent="0.4">
      <c r="I551" s="3"/>
      <c r="J551" s="3"/>
    </row>
    <row r="552" spans="9:10" ht="14.6" x14ac:dyDescent="0.4">
      <c r="I552" s="3"/>
      <c r="J552" s="3"/>
    </row>
    <row r="553" spans="9:10" ht="14.6" x14ac:dyDescent="0.4">
      <c r="I553" s="3"/>
      <c r="J553" s="3"/>
    </row>
    <row r="554" spans="9:10" ht="14.6" x14ac:dyDescent="0.4">
      <c r="I554" s="3"/>
      <c r="J554" s="3"/>
    </row>
    <row r="555" spans="9:10" ht="14.6" x14ac:dyDescent="0.4">
      <c r="I555" s="3"/>
      <c r="J555" s="3"/>
    </row>
    <row r="556" spans="9:10" ht="14.6" x14ac:dyDescent="0.4">
      <c r="I556" s="3"/>
      <c r="J556" s="3"/>
    </row>
    <row r="557" spans="9:10" ht="14.6" x14ac:dyDescent="0.4">
      <c r="I557" s="3"/>
      <c r="J557" s="3"/>
    </row>
    <row r="558" spans="9:10" ht="14.6" x14ac:dyDescent="0.4">
      <c r="I558" s="3"/>
      <c r="J558" s="3"/>
    </row>
    <row r="559" spans="9:10" ht="14.6" x14ac:dyDescent="0.4">
      <c r="I559" s="3"/>
      <c r="J559" s="3"/>
    </row>
    <row r="560" spans="9:10" ht="14.6" x14ac:dyDescent="0.4">
      <c r="I560" s="3"/>
      <c r="J560" s="3"/>
    </row>
    <row r="561" spans="9:10" ht="14.6" x14ac:dyDescent="0.4">
      <c r="I561" s="3"/>
      <c r="J561" s="3"/>
    </row>
    <row r="562" spans="9:10" ht="14.6" x14ac:dyDescent="0.4">
      <c r="I562" s="3"/>
      <c r="J562" s="3"/>
    </row>
    <row r="563" spans="9:10" ht="14.6" x14ac:dyDescent="0.4">
      <c r="I563" s="3"/>
      <c r="J563" s="3"/>
    </row>
    <row r="564" spans="9:10" ht="14.6" x14ac:dyDescent="0.4">
      <c r="I564" s="3"/>
      <c r="J564" s="3"/>
    </row>
    <row r="565" spans="9:10" ht="14.6" x14ac:dyDescent="0.4">
      <c r="I565" s="3"/>
      <c r="J565" s="3"/>
    </row>
    <row r="566" spans="9:10" ht="14.6" x14ac:dyDescent="0.4">
      <c r="I566" s="3"/>
      <c r="J566" s="3"/>
    </row>
    <row r="567" spans="9:10" ht="14.6" x14ac:dyDescent="0.4">
      <c r="I567" s="3"/>
      <c r="J567" s="3"/>
    </row>
    <row r="568" spans="9:10" ht="14.6" x14ac:dyDescent="0.4">
      <c r="I568" s="3"/>
      <c r="J568" s="3"/>
    </row>
    <row r="569" spans="9:10" ht="14.6" x14ac:dyDescent="0.4">
      <c r="I569" s="3"/>
      <c r="J569" s="3"/>
    </row>
    <row r="570" spans="9:10" ht="14.6" x14ac:dyDescent="0.4">
      <c r="I570" s="3"/>
      <c r="J570" s="3"/>
    </row>
    <row r="571" spans="9:10" ht="14.6" x14ac:dyDescent="0.4">
      <c r="I571" s="3"/>
      <c r="J571" s="3"/>
    </row>
    <row r="572" spans="9:10" ht="14.6" x14ac:dyDescent="0.4">
      <c r="I572" s="3"/>
      <c r="J572" s="3"/>
    </row>
    <row r="573" spans="9:10" ht="14.6" x14ac:dyDescent="0.4">
      <c r="I573" s="3"/>
      <c r="J573" s="3"/>
    </row>
    <row r="574" spans="9:10" ht="14.6" x14ac:dyDescent="0.4">
      <c r="I574" s="3"/>
      <c r="J574" s="3"/>
    </row>
    <row r="575" spans="9:10" ht="14.6" x14ac:dyDescent="0.4">
      <c r="I575" s="3"/>
      <c r="J575" s="3"/>
    </row>
    <row r="576" spans="9:10" ht="14.6" x14ac:dyDescent="0.4">
      <c r="I576" s="3"/>
      <c r="J576" s="3"/>
    </row>
    <row r="577" spans="9:10" ht="14.6" x14ac:dyDescent="0.4">
      <c r="I577" s="3"/>
      <c r="J577" s="3"/>
    </row>
    <row r="578" spans="9:10" ht="14.6" x14ac:dyDescent="0.4">
      <c r="I578" s="3"/>
      <c r="J578" s="3"/>
    </row>
    <row r="579" spans="9:10" ht="14.6" x14ac:dyDescent="0.4">
      <c r="I579" s="3"/>
      <c r="J579" s="3"/>
    </row>
    <row r="580" spans="9:10" ht="14.6" x14ac:dyDescent="0.4">
      <c r="I580" s="3"/>
      <c r="J580" s="3"/>
    </row>
    <row r="581" spans="9:10" ht="14.6" x14ac:dyDescent="0.4">
      <c r="I581" s="3"/>
      <c r="J581" s="3"/>
    </row>
    <row r="582" spans="9:10" ht="14.6" x14ac:dyDescent="0.4">
      <c r="I582" s="3"/>
      <c r="J582" s="3"/>
    </row>
    <row r="583" spans="9:10" ht="14.6" x14ac:dyDescent="0.4">
      <c r="I583" s="3"/>
      <c r="J583" s="3"/>
    </row>
    <row r="584" spans="9:10" ht="14.6" x14ac:dyDescent="0.4">
      <c r="I584" s="3"/>
      <c r="J584" s="3"/>
    </row>
    <row r="585" spans="9:10" ht="14.6" x14ac:dyDescent="0.4">
      <c r="I585" s="3"/>
      <c r="J585" s="3"/>
    </row>
    <row r="586" spans="9:10" ht="14.6" x14ac:dyDescent="0.4">
      <c r="I586" s="3"/>
      <c r="J586" s="3"/>
    </row>
    <row r="587" spans="9:10" ht="14.6" x14ac:dyDescent="0.4">
      <c r="I587" s="3"/>
      <c r="J587" s="3"/>
    </row>
    <row r="588" spans="9:10" ht="14.6" x14ac:dyDescent="0.4">
      <c r="I588" s="3"/>
      <c r="J588" s="3"/>
    </row>
    <row r="589" spans="9:10" ht="14.6" x14ac:dyDescent="0.4">
      <c r="I589" s="3"/>
      <c r="J589" s="3"/>
    </row>
    <row r="590" spans="9:10" ht="14.6" x14ac:dyDescent="0.4">
      <c r="I590" s="3"/>
      <c r="J590" s="3"/>
    </row>
    <row r="591" spans="9:10" ht="14.6" x14ac:dyDescent="0.4">
      <c r="I591" s="3"/>
      <c r="J591" s="3"/>
    </row>
    <row r="592" spans="9:10" ht="14.6" x14ac:dyDescent="0.4">
      <c r="I592" s="3"/>
      <c r="J592" s="3"/>
    </row>
    <row r="593" spans="9:10" ht="14.6" x14ac:dyDescent="0.4">
      <c r="I593" s="3"/>
      <c r="J593" s="3"/>
    </row>
    <row r="594" spans="9:10" ht="14.6" x14ac:dyDescent="0.4">
      <c r="I594" s="3"/>
      <c r="J594" s="3"/>
    </row>
    <row r="595" spans="9:10" ht="14.6" x14ac:dyDescent="0.4">
      <c r="I595" s="3"/>
      <c r="J595" s="3"/>
    </row>
    <row r="596" spans="9:10" ht="14.6" x14ac:dyDescent="0.4">
      <c r="I596" s="3"/>
      <c r="J596" s="3"/>
    </row>
    <row r="597" spans="9:10" ht="14.6" x14ac:dyDescent="0.4">
      <c r="I597" s="3"/>
      <c r="J597" s="3"/>
    </row>
    <row r="598" spans="9:10" ht="14.6" x14ac:dyDescent="0.4">
      <c r="I598" s="3"/>
      <c r="J598" s="3"/>
    </row>
    <row r="599" spans="9:10" ht="14.6" x14ac:dyDescent="0.4">
      <c r="I599" s="3"/>
      <c r="J599" s="3"/>
    </row>
    <row r="600" spans="9:10" ht="14.6" x14ac:dyDescent="0.4">
      <c r="I600" s="3"/>
      <c r="J600" s="3"/>
    </row>
    <row r="601" spans="9:10" ht="14.6" x14ac:dyDescent="0.4">
      <c r="I601" s="3"/>
      <c r="J601" s="3"/>
    </row>
    <row r="602" spans="9:10" ht="14.6" x14ac:dyDescent="0.4">
      <c r="I602" s="3"/>
      <c r="J602" s="3"/>
    </row>
    <row r="603" spans="9:10" ht="14.6" x14ac:dyDescent="0.4">
      <c r="I603" s="3"/>
      <c r="J603" s="3"/>
    </row>
    <row r="604" spans="9:10" ht="14.6" x14ac:dyDescent="0.4">
      <c r="I604" s="3"/>
      <c r="J604" s="3"/>
    </row>
    <row r="605" spans="9:10" ht="14.6" x14ac:dyDescent="0.4">
      <c r="I605" s="3"/>
      <c r="J605" s="3"/>
    </row>
    <row r="606" spans="9:10" ht="14.6" x14ac:dyDescent="0.4">
      <c r="I606" s="3"/>
      <c r="J606" s="3"/>
    </row>
    <row r="607" spans="9:10" ht="14.6" x14ac:dyDescent="0.4">
      <c r="I607" s="3"/>
      <c r="J607" s="3"/>
    </row>
    <row r="608" spans="9:10" ht="14.6" x14ac:dyDescent="0.4">
      <c r="I608" s="3"/>
      <c r="J608" s="3"/>
    </row>
    <row r="609" spans="9:10" ht="14.6" x14ac:dyDescent="0.4">
      <c r="I609" s="3"/>
      <c r="J609" s="3"/>
    </row>
    <row r="610" spans="9:10" ht="14.6" x14ac:dyDescent="0.4">
      <c r="I610" s="3"/>
      <c r="J610" s="3"/>
    </row>
    <row r="611" spans="9:10" ht="14.6" x14ac:dyDescent="0.4">
      <c r="I611" s="3"/>
      <c r="J611" s="3"/>
    </row>
    <row r="612" spans="9:10" ht="14.6" x14ac:dyDescent="0.4">
      <c r="I612" s="3"/>
      <c r="J612" s="3"/>
    </row>
    <row r="613" spans="9:10" ht="14.6" x14ac:dyDescent="0.4">
      <c r="I613" s="3"/>
      <c r="J613" s="3"/>
    </row>
    <row r="614" spans="9:10" ht="14.6" x14ac:dyDescent="0.4">
      <c r="I614" s="3"/>
      <c r="J614" s="3"/>
    </row>
    <row r="615" spans="9:10" ht="14.6" x14ac:dyDescent="0.4">
      <c r="I615" s="3"/>
      <c r="J615" s="3"/>
    </row>
    <row r="616" spans="9:10" ht="14.6" x14ac:dyDescent="0.4">
      <c r="I616" s="3"/>
      <c r="J616" s="3"/>
    </row>
    <row r="617" spans="9:10" ht="14.6" x14ac:dyDescent="0.4">
      <c r="I617" s="3"/>
      <c r="J617" s="3"/>
    </row>
    <row r="618" spans="9:10" ht="14.6" x14ac:dyDescent="0.4">
      <c r="I618" s="3"/>
      <c r="J618" s="3"/>
    </row>
    <row r="619" spans="9:10" ht="14.6" x14ac:dyDescent="0.4">
      <c r="I619" s="3"/>
      <c r="J619" s="3"/>
    </row>
    <row r="620" spans="9:10" ht="14.6" x14ac:dyDescent="0.4">
      <c r="I620" s="3"/>
      <c r="J620" s="3"/>
    </row>
    <row r="621" spans="9:10" ht="14.6" x14ac:dyDescent="0.4">
      <c r="I621" s="3"/>
      <c r="J621" s="3"/>
    </row>
    <row r="622" spans="9:10" ht="14.6" x14ac:dyDescent="0.4">
      <c r="I622" s="3"/>
      <c r="J622" s="3"/>
    </row>
    <row r="623" spans="9:10" ht="14.6" x14ac:dyDescent="0.4">
      <c r="I623" s="3"/>
      <c r="J623" s="3"/>
    </row>
    <row r="624" spans="9:10" ht="14.6" x14ac:dyDescent="0.4">
      <c r="I624" s="3"/>
      <c r="J624" s="3"/>
    </row>
    <row r="625" spans="9:10" ht="14.6" x14ac:dyDescent="0.4">
      <c r="I625" s="3"/>
      <c r="J625" s="3"/>
    </row>
    <row r="626" spans="9:10" ht="14.6" x14ac:dyDescent="0.4">
      <c r="I626" s="3"/>
      <c r="J626" s="3"/>
    </row>
    <row r="627" spans="9:10" ht="14.6" x14ac:dyDescent="0.4">
      <c r="I627" s="3"/>
      <c r="J627" s="3"/>
    </row>
    <row r="628" spans="9:10" ht="14.6" x14ac:dyDescent="0.4">
      <c r="I628" s="3"/>
      <c r="J628" s="3"/>
    </row>
    <row r="629" spans="9:10" ht="14.6" x14ac:dyDescent="0.4">
      <c r="I629" s="3"/>
      <c r="J629" s="3"/>
    </row>
    <row r="630" spans="9:10" ht="14.6" x14ac:dyDescent="0.4">
      <c r="I630" s="3"/>
      <c r="J630" s="3"/>
    </row>
    <row r="631" spans="9:10" ht="14.6" x14ac:dyDescent="0.4">
      <c r="I631" s="3"/>
      <c r="J631" s="3"/>
    </row>
    <row r="632" spans="9:10" ht="14.6" x14ac:dyDescent="0.4">
      <c r="I632" s="3"/>
      <c r="J632" s="3"/>
    </row>
    <row r="633" spans="9:10" ht="14.6" x14ac:dyDescent="0.4">
      <c r="I633" s="3"/>
      <c r="J633" s="3"/>
    </row>
    <row r="634" spans="9:10" ht="14.6" x14ac:dyDescent="0.4">
      <c r="I634" s="3"/>
      <c r="J634" s="3"/>
    </row>
    <row r="635" spans="9:10" ht="14.6" x14ac:dyDescent="0.4">
      <c r="I635" s="3"/>
      <c r="J635" s="3"/>
    </row>
    <row r="636" spans="9:10" ht="14.6" x14ac:dyDescent="0.4">
      <c r="I636" s="3"/>
      <c r="J636" s="3"/>
    </row>
    <row r="637" spans="9:10" ht="14.6" x14ac:dyDescent="0.4">
      <c r="I637" s="3"/>
      <c r="J637" s="3"/>
    </row>
    <row r="638" spans="9:10" ht="14.6" x14ac:dyDescent="0.4">
      <c r="I638" s="3"/>
      <c r="J638" s="3"/>
    </row>
    <row r="639" spans="9:10" ht="14.6" x14ac:dyDescent="0.4">
      <c r="I639" s="3"/>
      <c r="J639" s="3"/>
    </row>
    <row r="640" spans="9:10" ht="14.6" x14ac:dyDescent="0.4">
      <c r="I640" s="3"/>
      <c r="J640" s="3"/>
    </row>
    <row r="641" spans="9:10" ht="14.6" x14ac:dyDescent="0.4">
      <c r="I641" s="3"/>
      <c r="J641" s="3"/>
    </row>
    <row r="642" spans="9:10" ht="14.6" x14ac:dyDescent="0.4">
      <c r="I642" s="3"/>
      <c r="J642" s="3"/>
    </row>
    <row r="643" spans="9:10" ht="14.6" x14ac:dyDescent="0.4">
      <c r="I643" s="3"/>
      <c r="J643" s="3"/>
    </row>
    <row r="644" spans="9:10" ht="14.6" x14ac:dyDescent="0.4">
      <c r="I644" s="3"/>
      <c r="J644" s="3"/>
    </row>
    <row r="645" spans="9:10" ht="14.6" x14ac:dyDescent="0.4">
      <c r="I645" s="3"/>
      <c r="J645" s="3"/>
    </row>
    <row r="646" spans="9:10" ht="14.6" x14ac:dyDescent="0.4">
      <c r="I646" s="3"/>
      <c r="J646" s="3"/>
    </row>
    <row r="647" spans="9:10" ht="14.6" x14ac:dyDescent="0.4">
      <c r="I647" s="3"/>
      <c r="J647" s="3"/>
    </row>
    <row r="648" spans="9:10" ht="14.6" x14ac:dyDescent="0.4">
      <c r="I648" s="3"/>
      <c r="J648" s="3"/>
    </row>
    <row r="649" spans="9:10" ht="14.6" x14ac:dyDescent="0.4">
      <c r="I649" s="3"/>
      <c r="J649" s="3"/>
    </row>
    <row r="650" spans="9:10" ht="14.6" x14ac:dyDescent="0.4">
      <c r="I650" s="3"/>
      <c r="J650" s="3"/>
    </row>
    <row r="651" spans="9:10" ht="14.6" x14ac:dyDescent="0.4">
      <c r="I651" s="3"/>
      <c r="J651" s="3"/>
    </row>
    <row r="652" spans="9:10" ht="14.6" x14ac:dyDescent="0.4">
      <c r="I652" s="3"/>
      <c r="J652" s="3"/>
    </row>
    <row r="653" spans="9:10" ht="14.6" x14ac:dyDescent="0.4">
      <c r="I653" s="3"/>
      <c r="J653" s="3"/>
    </row>
    <row r="654" spans="9:10" ht="14.6" x14ac:dyDescent="0.4">
      <c r="I654" s="3"/>
      <c r="J654" s="3"/>
    </row>
    <row r="655" spans="9:10" ht="14.6" x14ac:dyDescent="0.4">
      <c r="I655" s="3"/>
      <c r="J655" s="3"/>
    </row>
    <row r="656" spans="9:10" ht="14.6" x14ac:dyDescent="0.4">
      <c r="I656" s="3"/>
      <c r="J656" s="3"/>
    </row>
    <row r="657" spans="9:10" ht="14.6" x14ac:dyDescent="0.4">
      <c r="I657" s="3"/>
      <c r="J657" s="3"/>
    </row>
    <row r="658" spans="9:10" ht="14.6" x14ac:dyDescent="0.4">
      <c r="I658" s="3"/>
      <c r="J658" s="3"/>
    </row>
    <row r="659" spans="9:10" ht="14.6" x14ac:dyDescent="0.4">
      <c r="I659" s="3"/>
      <c r="J659" s="3"/>
    </row>
    <row r="660" spans="9:10" ht="14.6" x14ac:dyDescent="0.4">
      <c r="I660" s="3"/>
      <c r="J660" s="3"/>
    </row>
    <row r="661" spans="9:10" ht="14.6" x14ac:dyDescent="0.4">
      <c r="I661" s="3"/>
      <c r="J661" s="3"/>
    </row>
    <row r="662" spans="9:10" ht="14.6" x14ac:dyDescent="0.4">
      <c r="I662" s="3"/>
      <c r="J662" s="3"/>
    </row>
    <row r="663" spans="9:10" ht="14.6" x14ac:dyDescent="0.4">
      <c r="I663" s="3"/>
      <c r="J663" s="3"/>
    </row>
    <row r="664" spans="9:10" ht="14.6" x14ac:dyDescent="0.4">
      <c r="I664" s="3"/>
      <c r="J664" s="3"/>
    </row>
    <row r="665" spans="9:10" ht="14.6" x14ac:dyDescent="0.4">
      <c r="I665" s="3"/>
      <c r="J665" s="3"/>
    </row>
    <row r="666" spans="9:10" ht="14.6" x14ac:dyDescent="0.4">
      <c r="I666" s="3"/>
      <c r="J666" s="3"/>
    </row>
    <row r="667" spans="9:10" ht="14.6" x14ac:dyDescent="0.4">
      <c r="I667" s="3"/>
      <c r="J667" s="3"/>
    </row>
    <row r="668" spans="9:10" ht="14.6" x14ac:dyDescent="0.4">
      <c r="I668" s="3"/>
      <c r="J668" s="3"/>
    </row>
    <row r="669" spans="9:10" ht="14.6" x14ac:dyDescent="0.4">
      <c r="I669" s="3"/>
      <c r="J669" s="3"/>
    </row>
    <row r="670" spans="9:10" ht="14.6" x14ac:dyDescent="0.4">
      <c r="I670" s="3"/>
      <c r="J670" s="3"/>
    </row>
    <row r="671" spans="9:10" ht="14.6" x14ac:dyDescent="0.4">
      <c r="I671" s="3"/>
      <c r="J671" s="3"/>
    </row>
    <row r="672" spans="9:10" ht="14.6" x14ac:dyDescent="0.4">
      <c r="I672" s="3"/>
      <c r="J672" s="3"/>
    </row>
    <row r="673" spans="9:10" ht="14.6" x14ac:dyDescent="0.4">
      <c r="I673" s="3"/>
      <c r="J673" s="3"/>
    </row>
    <row r="674" spans="9:10" ht="14.6" x14ac:dyDescent="0.4">
      <c r="I674" s="3"/>
      <c r="J674" s="3"/>
    </row>
    <row r="675" spans="9:10" ht="14.6" x14ac:dyDescent="0.4">
      <c r="I675" s="3"/>
      <c r="J675" s="3"/>
    </row>
    <row r="676" spans="9:10" ht="14.6" x14ac:dyDescent="0.4">
      <c r="I676" s="3"/>
      <c r="J676" s="3"/>
    </row>
    <row r="677" spans="9:10" ht="14.6" x14ac:dyDescent="0.4">
      <c r="I677" s="3"/>
      <c r="J677" s="3"/>
    </row>
    <row r="678" spans="9:10" ht="14.6" x14ac:dyDescent="0.4">
      <c r="I678" s="3"/>
      <c r="J678" s="3"/>
    </row>
    <row r="679" spans="9:10" ht="14.6" x14ac:dyDescent="0.4">
      <c r="I679" s="3"/>
      <c r="J679" s="3"/>
    </row>
    <row r="680" spans="9:10" ht="14.6" x14ac:dyDescent="0.4">
      <c r="I680" s="3"/>
      <c r="J680" s="3"/>
    </row>
    <row r="681" spans="9:10" ht="14.6" x14ac:dyDescent="0.4">
      <c r="I681" s="3"/>
      <c r="J681" s="3"/>
    </row>
    <row r="682" spans="9:10" ht="14.6" x14ac:dyDescent="0.4">
      <c r="I682" s="3"/>
      <c r="J682" s="3"/>
    </row>
    <row r="683" spans="9:10" ht="14.6" x14ac:dyDescent="0.4">
      <c r="I683" s="3"/>
      <c r="J683" s="3"/>
    </row>
    <row r="684" spans="9:10" ht="14.6" x14ac:dyDescent="0.4">
      <c r="I684" s="3"/>
      <c r="J684" s="3"/>
    </row>
    <row r="685" spans="9:10" ht="14.6" x14ac:dyDescent="0.4">
      <c r="I685" s="3"/>
      <c r="J685" s="3"/>
    </row>
    <row r="686" spans="9:10" ht="14.6" x14ac:dyDescent="0.4">
      <c r="I686" s="3"/>
      <c r="J686" s="3"/>
    </row>
    <row r="687" spans="9:10" ht="14.6" x14ac:dyDescent="0.4">
      <c r="I687" s="3"/>
      <c r="J687" s="3"/>
    </row>
    <row r="688" spans="9:10" ht="14.6" x14ac:dyDescent="0.4">
      <c r="I688" s="3"/>
      <c r="J688" s="3"/>
    </row>
    <row r="689" spans="9:10" ht="14.6" x14ac:dyDescent="0.4">
      <c r="I689" s="3"/>
      <c r="J689" s="3"/>
    </row>
    <row r="690" spans="9:10" ht="14.6" x14ac:dyDescent="0.4">
      <c r="I690" s="3"/>
      <c r="J690" s="3"/>
    </row>
    <row r="691" spans="9:10" ht="14.6" x14ac:dyDescent="0.4">
      <c r="I691" s="3"/>
      <c r="J691" s="3"/>
    </row>
    <row r="692" spans="9:10" ht="14.6" x14ac:dyDescent="0.4">
      <c r="I692" s="3"/>
      <c r="J692" s="3"/>
    </row>
    <row r="693" spans="9:10" ht="14.6" x14ac:dyDescent="0.4">
      <c r="I693" s="3"/>
      <c r="J693" s="3"/>
    </row>
    <row r="694" spans="9:10" ht="14.6" x14ac:dyDescent="0.4">
      <c r="I694" s="3"/>
      <c r="J694" s="3"/>
    </row>
    <row r="695" spans="9:10" ht="14.6" x14ac:dyDescent="0.4">
      <c r="I695" s="3"/>
      <c r="J695" s="3"/>
    </row>
    <row r="696" spans="9:10" ht="14.6" x14ac:dyDescent="0.4">
      <c r="I696" s="3"/>
      <c r="J696" s="3"/>
    </row>
    <row r="697" spans="9:10" ht="14.6" x14ac:dyDescent="0.4">
      <c r="I697" s="3"/>
      <c r="J697" s="3"/>
    </row>
    <row r="698" spans="9:10" ht="14.6" x14ac:dyDescent="0.4">
      <c r="I698" s="3"/>
      <c r="J698" s="3"/>
    </row>
    <row r="699" spans="9:10" ht="14.6" x14ac:dyDescent="0.4">
      <c r="I699" s="3"/>
      <c r="J699" s="3"/>
    </row>
    <row r="700" spans="9:10" ht="14.6" x14ac:dyDescent="0.4">
      <c r="I700" s="3"/>
      <c r="J700" s="3"/>
    </row>
    <row r="701" spans="9:10" ht="14.6" x14ac:dyDescent="0.4">
      <c r="I701" s="3"/>
      <c r="J701" s="3"/>
    </row>
    <row r="702" spans="9:10" ht="14.6" x14ac:dyDescent="0.4">
      <c r="I702" s="3"/>
      <c r="J702" s="3"/>
    </row>
    <row r="703" spans="9:10" ht="14.6" x14ac:dyDescent="0.4">
      <c r="I703" s="3"/>
      <c r="J703" s="3"/>
    </row>
    <row r="704" spans="9:10" ht="14.6" x14ac:dyDescent="0.4">
      <c r="I704" s="3"/>
      <c r="J704" s="3"/>
    </row>
    <row r="705" spans="9:10" ht="14.6" x14ac:dyDescent="0.4">
      <c r="I705" s="3"/>
      <c r="J705" s="3"/>
    </row>
    <row r="706" spans="9:10" ht="14.6" x14ac:dyDescent="0.4">
      <c r="I706" s="3"/>
      <c r="J706" s="3"/>
    </row>
    <row r="707" spans="9:10" ht="14.6" x14ac:dyDescent="0.4">
      <c r="I707" s="3"/>
      <c r="J707" s="3"/>
    </row>
    <row r="708" spans="9:10" ht="14.6" x14ac:dyDescent="0.4">
      <c r="I708" s="3"/>
      <c r="J708" s="3"/>
    </row>
    <row r="709" spans="9:10" ht="14.6" x14ac:dyDescent="0.4">
      <c r="I709" s="3"/>
      <c r="J709" s="3"/>
    </row>
    <row r="710" spans="9:10" ht="14.6" x14ac:dyDescent="0.4">
      <c r="I710" s="3"/>
      <c r="J710" s="3"/>
    </row>
    <row r="711" spans="9:10" ht="14.6" x14ac:dyDescent="0.4">
      <c r="I711" s="3"/>
      <c r="J711" s="3"/>
    </row>
    <row r="712" spans="9:10" ht="14.6" x14ac:dyDescent="0.4">
      <c r="I712" s="3"/>
      <c r="J712" s="3"/>
    </row>
    <row r="713" spans="9:10" ht="14.6" x14ac:dyDescent="0.4">
      <c r="I713" s="3"/>
      <c r="J713" s="3"/>
    </row>
    <row r="714" spans="9:10" ht="14.6" x14ac:dyDescent="0.4">
      <c r="I714" s="3"/>
      <c r="J714" s="3"/>
    </row>
    <row r="715" spans="9:10" ht="14.6" x14ac:dyDescent="0.4">
      <c r="I715" s="3"/>
      <c r="J715" s="3"/>
    </row>
    <row r="716" spans="9:10" ht="14.6" x14ac:dyDescent="0.4">
      <c r="I716" s="3"/>
      <c r="J716" s="3"/>
    </row>
    <row r="717" spans="9:10" ht="14.6" x14ac:dyDescent="0.4">
      <c r="I717" s="3"/>
      <c r="J717" s="3"/>
    </row>
    <row r="718" spans="9:10" ht="14.6" x14ac:dyDescent="0.4">
      <c r="I718" s="3"/>
      <c r="J718" s="3"/>
    </row>
    <row r="719" spans="9:10" ht="14.6" x14ac:dyDescent="0.4">
      <c r="I719" s="3"/>
      <c r="J719" s="3"/>
    </row>
    <row r="720" spans="9:10" ht="14.6" x14ac:dyDescent="0.4">
      <c r="I720" s="3"/>
      <c r="J720" s="3"/>
    </row>
    <row r="721" spans="9:10" ht="14.6" x14ac:dyDescent="0.4">
      <c r="I721" s="3"/>
      <c r="J721" s="3"/>
    </row>
    <row r="722" spans="9:10" ht="14.6" x14ac:dyDescent="0.4">
      <c r="I722" s="3"/>
      <c r="J722" s="3"/>
    </row>
    <row r="723" spans="9:10" ht="14.6" x14ac:dyDescent="0.4">
      <c r="I723" s="3"/>
      <c r="J723" s="3"/>
    </row>
    <row r="724" spans="9:10" ht="14.6" x14ac:dyDescent="0.4">
      <c r="I724" s="3"/>
      <c r="J724" s="3"/>
    </row>
    <row r="725" spans="9:10" ht="14.6" x14ac:dyDescent="0.4">
      <c r="I725" s="3"/>
      <c r="J725" s="3"/>
    </row>
    <row r="726" spans="9:10" ht="14.6" x14ac:dyDescent="0.4">
      <c r="I726" s="3"/>
      <c r="J726" s="3"/>
    </row>
    <row r="727" spans="9:10" ht="14.6" x14ac:dyDescent="0.4">
      <c r="I727" s="3"/>
      <c r="J727" s="3"/>
    </row>
    <row r="728" spans="9:10" ht="14.6" x14ac:dyDescent="0.4">
      <c r="I728" s="3"/>
      <c r="J728" s="3"/>
    </row>
    <row r="729" spans="9:10" ht="14.6" x14ac:dyDescent="0.4">
      <c r="I729" s="3"/>
      <c r="J729" s="3"/>
    </row>
    <row r="730" spans="9:10" ht="14.6" x14ac:dyDescent="0.4">
      <c r="I730" s="3"/>
      <c r="J730" s="3"/>
    </row>
    <row r="731" spans="9:10" ht="14.6" x14ac:dyDescent="0.4">
      <c r="I731" s="3"/>
      <c r="J731" s="3"/>
    </row>
    <row r="732" spans="9:10" ht="14.6" x14ac:dyDescent="0.4">
      <c r="I732" s="3"/>
      <c r="J732" s="3"/>
    </row>
    <row r="733" spans="9:10" ht="14.6" x14ac:dyDescent="0.4">
      <c r="I733" s="3"/>
      <c r="J733" s="3"/>
    </row>
    <row r="734" spans="9:10" ht="14.6" x14ac:dyDescent="0.4">
      <c r="I734" s="3"/>
      <c r="J734" s="3"/>
    </row>
    <row r="735" spans="9:10" ht="14.6" x14ac:dyDescent="0.4">
      <c r="I735" s="3"/>
      <c r="J735" s="3"/>
    </row>
    <row r="736" spans="9:10" ht="14.6" x14ac:dyDescent="0.4">
      <c r="I736" s="3"/>
      <c r="J736" s="3"/>
    </row>
    <row r="737" spans="9:10" ht="14.6" x14ac:dyDescent="0.4">
      <c r="I737" s="3"/>
      <c r="J737" s="3"/>
    </row>
    <row r="738" spans="9:10" ht="14.6" x14ac:dyDescent="0.4">
      <c r="I738" s="3"/>
      <c r="J738" s="3"/>
    </row>
    <row r="739" spans="9:10" ht="14.6" x14ac:dyDescent="0.4">
      <c r="I739" s="3"/>
      <c r="J739" s="3"/>
    </row>
    <row r="740" spans="9:10" ht="14.6" x14ac:dyDescent="0.4">
      <c r="I740" s="3"/>
      <c r="J740" s="3"/>
    </row>
    <row r="741" spans="9:10" ht="14.6" x14ac:dyDescent="0.4">
      <c r="I741" s="3"/>
      <c r="J741" s="3"/>
    </row>
    <row r="742" spans="9:10" ht="14.6" x14ac:dyDescent="0.4">
      <c r="I742" s="3"/>
      <c r="J742" s="3"/>
    </row>
    <row r="743" spans="9:10" ht="14.6" x14ac:dyDescent="0.4">
      <c r="I743" s="3"/>
      <c r="J743" s="3"/>
    </row>
    <row r="744" spans="9:10" ht="14.6" x14ac:dyDescent="0.4">
      <c r="I744" s="3"/>
      <c r="J744" s="3"/>
    </row>
    <row r="745" spans="9:10" ht="14.6" x14ac:dyDescent="0.4">
      <c r="I745" s="3"/>
      <c r="J745" s="3"/>
    </row>
    <row r="746" spans="9:10" ht="14.6" x14ac:dyDescent="0.4">
      <c r="I746" s="3"/>
      <c r="J746" s="3"/>
    </row>
    <row r="747" spans="9:10" ht="14.6" x14ac:dyDescent="0.4">
      <c r="I747" s="3"/>
      <c r="J747" s="3"/>
    </row>
    <row r="748" spans="9:10" ht="14.6" x14ac:dyDescent="0.4">
      <c r="I748" s="3"/>
      <c r="J748" s="3"/>
    </row>
    <row r="749" spans="9:10" ht="14.6" x14ac:dyDescent="0.4">
      <c r="I749" s="3"/>
      <c r="J749" s="3"/>
    </row>
    <row r="750" spans="9:10" ht="14.6" x14ac:dyDescent="0.4">
      <c r="I750" s="3"/>
      <c r="J750" s="3"/>
    </row>
    <row r="751" spans="9:10" ht="14.6" x14ac:dyDescent="0.4">
      <c r="I751" s="3"/>
      <c r="J751" s="3"/>
    </row>
    <row r="752" spans="9:10" ht="14.6" x14ac:dyDescent="0.4">
      <c r="I752" s="3"/>
      <c r="J752" s="3"/>
    </row>
    <row r="753" spans="9:10" ht="14.6" x14ac:dyDescent="0.4">
      <c r="I753" s="3"/>
      <c r="J753" s="3"/>
    </row>
    <row r="754" spans="9:10" ht="14.6" x14ac:dyDescent="0.4">
      <c r="I754" s="3"/>
      <c r="J754" s="3"/>
    </row>
    <row r="755" spans="9:10" ht="14.6" x14ac:dyDescent="0.4">
      <c r="I755" s="3"/>
      <c r="J755" s="3"/>
    </row>
    <row r="756" spans="9:10" ht="14.6" x14ac:dyDescent="0.4">
      <c r="I756" s="3"/>
      <c r="J756" s="3"/>
    </row>
    <row r="757" spans="9:10" ht="14.6" x14ac:dyDescent="0.4">
      <c r="I757" s="3"/>
      <c r="J757" s="3"/>
    </row>
    <row r="758" spans="9:10" ht="14.6" x14ac:dyDescent="0.4">
      <c r="I758" s="3"/>
      <c r="J758" s="3"/>
    </row>
    <row r="759" spans="9:10" ht="14.6" x14ac:dyDescent="0.4">
      <c r="I759" s="3"/>
      <c r="J759" s="3"/>
    </row>
    <row r="760" spans="9:10" ht="14.6" x14ac:dyDescent="0.4">
      <c r="I760" s="3"/>
      <c r="J760" s="3"/>
    </row>
    <row r="761" spans="9:10" ht="14.6" x14ac:dyDescent="0.4">
      <c r="I761" s="3"/>
      <c r="J761" s="3"/>
    </row>
    <row r="762" spans="9:10" ht="14.6" x14ac:dyDescent="0.4">
      <c r="I762" s="3"/>
      <c r="J762" s="3"/>
    </row>
    <row r="763" spans="9:10" ht="14.6" x14ac:dyDescent="0.4">
      <c r="I763" s="3"/>
      <c r="J763" s="3"/>
    </row>
    <row r="764" spans="9:10" ht="14.6" x14ac:dyDescent="0.4">
      <c r="I764" s="3"/>
      <c r="J764" s="3"/>
    </row>
    <row r="765" spans="9:10" ht="14.6" x14ac:dyDescent="0.4">
      <c r="I765" s="3"/>
      <c r="J765" s="3"/>
    </row>
    <row r="766" spans="9:10" ht="14.6" x14ac:dyDescent="0.4">
      <c r="I766" s="3"/>
      <c r="J766" s="3"/>
    </row>
    <row r="767" spans="9:10" ht="14.6" x14ac:dyDescent="0.4">
      <c r="I767" s="3"/>
      <c r="J767" s="3"/>
    </row>
    <row r="768" spans="9:10" ht="14.6" x14ac:dyDescent="0.4">
      <c r="I768" s="3"/>
      <c r="J768" s="3"/>
    </row>
    <row r="769" spans="9:10" ht="14.6" x14ac:dyDescent="0.4">
      <c r="I769" s="3"/>
      <c r="J769" s="3"/>
    </row>
    <row r="770" spans="9:10" ht="14.6" x14ac:dyDescent="0.4">
      <c r="I770" s="3"/>
      <c r="J770" s="3"/>
    </row>
    <row r="771" spans="9:10" ht="14.6" x14ac:dyDescent="0.4">
      <c r="I771" s="3"/>
      <c r="J771" s="3"/>
    </row>
    <row r="772" spans="9:10" ht="14.6" x14ac:dyDescent="0.4">
      <c r="I772" s="3"/>
      <c r="J772" s="3"/>
    </row>
    <row r="773" spans="9:10" ht="14.6" x14ac:dyDescent="0.4">
      <c r="I773" s="3"/>
      <c r="J773" s="3"/>
    </row>
    <row r="774" spans="9:10" ht="14.6" x14ac:dyDescent="0.4">
      <c r="I774" s="3"/>
      <c r="J774" s="3"/>
    </row>
    <row r="775" spans="9:10" ht="14.6" x14ac:dyDescent="0.4">
      <c r="I775" s="3"/>
      <c r="J775" s="3"/>
    </row>
    <row r="776" spans="9:10" ht="14.6" x14ac:dyDescent="0.4">
      <c r="I776" s="3"/>
      <c r="J776" s="3"/>
    </row>
    <row r="777" spans="9:10" ht="14.6" x14ac:dyDescent="0.4">
      <c r="I777" s="3"/>
      <c r="J777" s="3"/>
    </row>
    <row r="778" spans="9:10" ht="14.6" x14ac:dyDescent="0.4">
      <c r="I778" s="3"/>
      <c r="J778" s="3"/>
    </row>
    <row r="779" spans="9:10" ht="14.6" x14ac:dyDescent="0.4">
      <c r="I779" s="3"/>
      <c r="J779" s="3"/>
    </row>
    <row r="780" spans="9:10" ht="14.6" x14ac:dyDescent="0.4">
      <c r="I780" s="3"/>
      <c r="J780" s="3"/>
    </row>
    <row r="781" spans="9:10" ht="14.6" x14ac:dyDescent="0.4">
      <c r="I781" s="3"/>
      <c r="J781" s="3"/>
    </row>
    <row r="782" spans="9:10" ht="14.6" x14ac:dyDescent="0.4">
      <c r="I782" s="3"/>
      <c r="J782" s="3"/>
    </row>
    <row r="783" spans="9:10" ht="14.6" x14ac:dyDescent="0.4">
      <c r="I783" s="3"/>
      <c r="J783" s="3"/>
    </row>
    <row r="784" spans="9:10" ht="14.6" x14ac:dyDescent="0.4">
      <c r="I784" s="3"/>
      <c r="J784" s="3"/>
    </row>
    <row r="785" spans="9:10" ht="14.6" x14ac:dyDescent="0.4">
      <c r="I785" s="3"/>
      <c r="J785" s="3"/>
    </row>
    <row r="786" spans="9:10" ht="14.6" x14ac:dyDescent="0.4">
      <c r="I786" s="3"/>
      <c r="J786" s="3"/>
    </row>
    <row r="787" spans="9:10" ht="14.6" x14ac:dyDescent="0.4">
      <c r="I787" s="3"/>
      <c r="J787" s="3"/>
    </row>
    <row r="788" spans="9:10" ht="14.6" x14ac:dyDescent="0.4">
      <c r="I788" s="3"/>
      <c r="J788" s="3"/>
    </row>
    <row r="789" spans="9:10" ht="14.6" x14ac:dyDescent="0.4">
      <c r="I789" s="3"/>
      <c r="J789" s="3"/>
    </row>
    <row r="790" spans="9:10" ht="14.6" x14ac:dyDescent="0.4">
      <c r="I790" s="3"/>
      <c r="J790" s="3"/>
    </row>
    <row r="791" spans="9:10" ht="14.6" x14ac:dyDescent="0.4">
      <c r="I791" s="3"/>
      <c r="J791" s="3"/>
    </row>
    <row r="792" spans="9:10" ht="14.6" x14ac:dyDescent="0.4">
      <c r="I792" s="3"/>
      <c r="J792" s="3"/>
    </row>
    <row r="793" spans="9:10" ht="14.6" x14ac:dyDescent="0.4">
      <c r="I793" s="3"/>
      <c r="J793" s="3"/>
    </row>
    <row r="794" spans="9:10" ht="14.6" x14ac:dyDescent="0.4">
      <c r="I794" s="3"/>
      <c r="J794" s="3"/>
    </row>
    <row r="795" spans="9:10" ht="14.6" x14ac:dyDescent="0.4">
      <c r="I795" s="3"/>
      <c r="J795" s="3"/>
    </row>
    <row r="796" spans="9:10" ht="14.6" x14ac:dyDescent="0.4">
      <c r="I796" s="3"/>
      <c r="J796" s="3"/>
    </row>
    <row r="797" spans="9:10" ht="14.6" x14ac:dyDescent="0.4">
      <c r="I797" s="3"/>
      <c r="J797" s="3"/>
    </row>
    <row r="798" spans="9:10" ht="14.6" x14ac:dyDescent="0.4">
      <c r="I798" s="3"/>
      <c r="J798" s="3"/>
    </row>
    <row r="799" spans="9:10" ht="14.6" x14ac:dyDescent="0.4">
      <c r="I799" s="3"/>
      <c r="J799" s="3"/>
    </row>
    <row r="800" spans="9:10" ht="14.6" x14ac:dyDescent="0.4">
      <c r="I800" s="3"/>
      <c r="J800" s="3"/>
    </row>
    <row r="801" spans="9:10" ht="14.6" x14ac:dyDescent="0.4">
      <c r="I801" s="3"/>
      <c r="J801" s="3"/>
    </row>
    <row r="802" spans="9:10" ht="14.6" x14ac:dyDescent="0.4">
      <c r="I802" s="3"/>
      <c r="J802" s="3"/>
    </row>
    <row r="803" spans="9:10" ht="14.6" x14ac:dyDescent="0.4">
      <c r="I803" s="3"/>
      <c r="J803" s="3"/>
    </row>
    <row r="804" spans="9:10" ht="14.6" x14ac:dyDescent="0.4">
      <c r="I804" s="3"/>
      <c r="J804" s="3"/>
    </row>
    <row r="805" spans="9:10" ht="14.6" x14ac:dyDescent="0.4">
      <c r="I805" s="3"/>
      <c r="J805" s="3"/>
    </row>
    <row r="806" spans="9:10" ht="14.6" x14ac:dyDescent="0.4">
      <c r="I806" s="3"/>
      <c r="J806" s="3"/>
    </row>
    <row r="807" spans="9:10" ht="14.6" x14ac:dyDescent="0.4">
      <c r="I807" s="3"/>
      <c r="J807" s="3"/>
    </row>
    <row r="808" spans="9:10" ht="14.6" x14ac:dyDescent="0.4">
      <c r="I808" s="3"/>
      <c r="J808" s="3"/>
    </row>
    <row r="809" spans="9:10" ht="14.6" x14ac:dyDescent="0.4">
      <c r="I809" s="3"/>
      <c r="J809" s="3"/>
    </row>
    <row r="810" spans="9:10" ht="14.6" x14ac:dyDescent="0.4">
      <c r="I810" s="3"/>
      <c r="J810" s="3"/>
    </row>
    <row r="811" spans="9:10" ht="14.6" x14ac:dyDescent="0.4">
      <c r="I811" s="3"/>
      <c r="J811" s="3"/>
    </row>
    <row r="812" spans="9:10" ht="14.6" x14ac:dyDescent="0.4">
      <c r="I812" s="3"/>
      <c r="J812" s="3"/>
    </row>
    <row r="813" spans="9:10" ht="14.6" x14ac:dyDescent="0.4">
      <c r="I813" s="3"/>
      <c r="J813" s="3"/>
    </row>
    <row r="814" spans="9:10" ht="14.6" x14ac:dyDescent="0.4">
      <c r="I814" s="3"/>
      <c r="J814" s="3"/>
    </row>
    <row r="815" spans="9:10" ht="14.6" x14ac:dyDescent="0.4">
      <c r="I815" s="3"/>
      <c r="J815" s="3"/>
    </row>
    <row r="816" spans="9:10" ht="14.6" x14ac:dyDescent="0.4">
      <c r="I816" s="3"/>
      <c r="J816" s="3"/>
    </row>
    <row r="817" spans="9:10" ht="14.6" x14ac:dyDescent="0.4">
      <c r="I817" s="3"/>
      <c r="J817" s="3"/>
    </row>
    <row r="818" spans="9:10" ht="14.6" x14ac:dyDescent="0.4">
      <c r="I818" s="3"/>
      <c r="J818" s="3"/>
    </row>
    <row r="819" spans="9:10" ht="14.6" x14ac:dyDescent="0.4">
      <c r="I819" s="3"/>
      <c r="J819" s="3"/>
    </row>
    <row r="820" spans="9:10" ht="14.6" x14ac:dyDescent="0.4">
      <c r="I820" s="3"/>
      <c r="J820" s="3"/>
    </row>
    <row r="821" spans="9:10" ht="14.6" x14ac:dyDescent="0.4">
      <c r="I821" s="3"/>
      <c r="J821" s="3"/>
    </row>
    <row r="822" spans="9:10" ht="14.6" x14ac:dyDescent="0.4">
      <c r="I822" s="3"/>
      <c r="J822" s="3"/>
    </row>
    <row r="823" spans="9:10" ht="14.6" x14ac:dyDescent="0.4">
      <c r="I823" s="3"/>
      <c r="J823" s="3"/>
    </row>
    <row r="824" spans="9:10" ht="14.6" x14ac:dyDescent="0.4">
      <c r="I824" s="3"/>
      <c r="J824" s="3"/>
    </row>
    <row r="825" spans="9:10" ht="14.6" x14ac:dyDescent="0.4">
      <c r="I825" s="3"/>
      <c r="J825" s="3"/>
    </row>
    <row r="826" spans="9:10" ht="14.6" x14ac:dyDescent="0.4">
      <c r="I826" s="3"/>
      <c r="J826" s="3"/>
    </row>
    <row r="827" spans="9:10" ht="14.6" x14ac:dyDescent="0.4">
      <c r="I827" s="3"/>
      <c r="J827" s="3"/>
    </row>
    <row r="828" spans="9:10" ht="14.6" x14ac:dyDescent="0.4">
      <c r="I828" s="3"/>
      <c r="J828" s="3"/>
    </row>
    <row r="829" spans="9:10" ht="14.6" x14ac:dyDescent="0.4">
      <c r="I829" s="3"/>
      <c r="J829" s="3"/>
    </row>
    <row r="830" spans="9:10" ht="14.6" x14ac:dyDescent="0.4">
      <c r="I830" s="3"/>
      <c r="J830" s="3"/>
    </row>
    <row r="831" spans="9:10" ht="14.6" x14ac:dyDescent="0.4">
      <c r="I831" s="3"/>
      <c r="J831" s="3"/>
    </row>
    <row r="832" spans="9:10" ht="14.6" x14ac:dyDescent="0.4">
      <c r="I832" s="3"/>
      <c r="J832" s="3"/>
    </row>
    <row r="833" spans="9:10" ht="14.6" x14ac:dyDescent="0.4">
      <c r="I833" s="3"/>
      <c r="J833" s="3"/>
    </row>
    <row r="834" spans="9:10" ht="14.6" x14ac:dyDescent="0.4">
      <c r="I834" s="3"/>
      <c r="J834" s="3"/>
    </row>
    <row r="835" spans="9:10" ht="14.6" x14ac:dyDescent="0.4">
      <c r="I835" s="3"/>
      <c r="J835" s="3"/>
    </row>
    <row r="836" spans="9:10" ht="14.6" x14ac:dyDescent="0.4">
      <c r="I836" s="3"/>
      <c r="J836" s="3"/>
    </row>
    <row r="837" spans="9:10" ht="14.6" x14ac:dyDescent="0.4">
      <c r="I837" s="3"/>
      <c r="J837" s="3"/>
    </row>
    <row r="838" spans="9:10" ht="14.6" x14ac:dyDescent="0.4">
      <c r="I838" s="3"/>
      <c r="J838" s="3"/>
    </row>
    <row r="839" spans="9:10" ht="14.6" x14ac:dyDescent="0.4">
      <c r="I839" s="3"/>
      <c r="J839" s="3"/>
    </row>
    <row r="840" spans="9:10" ht="14.6" x14ac:dyDescent="0.4">
      <c r="I840" s="3"/>
      <c r="J840" s="3"/>
    </row>
    <row r="841" spans="9:10" ht="14.6" x14ac:dyDescent="0.4">
      <c r="I841" s="3"/>
      <c r="J841" s="3"/>
    </row>
    <row r="842" spans="9:10" ht="14.6" x14ac:dyDescent="0.4">
      <c r="I842" s="3"/>
      <c r="J842" s="3"/>
    </row>
    <row r="843" spans="9:10" ht="14.6" x14ac:dyDescent="0.4">
      <c r="I843" s="3"/>
      <c r="J843" s="3"/>
    </row>
    <row r="844" spans="9:10" ht="14.6" x14ac:dyDescent="0.4">
      <c r="I844" s="3"/>
      <c r="J844" s="3"/>
    </row>
    <row r="845" spans="9:10" ht="14.6" x14ac:dyDescent="0.4">
      <c r="I845" s="3"/>
      <c r="J845" s="3"/>
    </row>
    <row r="846" spans="9:10" ht="14.6" x14ac:dyDescent="0.4">
      <c r="I846" s="3"/>
      <c r="J846" s="3"/>
    </row>
    <row r="847" spans="9:10" ht="14.6" x14ac:dyDescent="0.4">
      <c r="I847" s="3"/>
      <c r="J847" s="3"/>
    </row>
    <row r="848" spans="9:10" ht="14.6" x14ac:dyDescent="0.4">
      <c r="I848" s="3"/>
      <c r="J848" s="3"/>
    </row>
    <row r="849" spans="9:10" ht="14.6" x14ac:dyDescent="0.4">
      <c r="I849" s="3"/>
      <c r="J849" s="3"/>
    </row>
    <row r="850" spans="9:10" ht="14.6" x14ac:dyDescent="0.4">
      <c r="I850" s="3"/>
      <c r="J850" s="3"/>
    </row>
    <row r="851" spans="9:10" ht="14.6" x14ac:dyDescent="0.4">
      <c r="I851" s="3"/>
      <c r="J851" s="3"/>
    </row>
    <row r="852" spans="9:10" ht="14.6" x14ac:dyDescent="0.4">
      <c r="I852" s="3"/>
      <c r="J852" s="3"/>
    </row>
    <row r="853" spans="9:10" ht="14.6" x14ac:dyDescent="0.4">
      <c r="I853" s="3"/>
      <c r="J853" s="3"/>
    </row>
    <row r="854" spans="9:10" ht="14.6" x14ac:dyDescent="0.4">
      <c r="I854" s="3"/>
      <c r="J854" s="3"/>
    </row>
    <row r="855" spans="9:10" ht="14.6" x14ac:dyDescent="0.4">
      <c r="I855" s="3"/>
      <c r="J855" s="3"/>
    </row>
    <row r="856" spans="9:10" ht="14.6" x14ac:dyDescent="0.4">
      <c r="I856" s="3"/>
      <c r="J856" s="3"/>
    </row>
    <row r="857" spans="9:10" ht="14.6" x14ac:dyDescent="0.4">
      <c r="I857" s="3"/>
      <c r="J857" s="3"/>
    </row>
    <row r="858" spans="9:10" ht="14.6" x14ac:dyDescent="0.4">
      <c r="I858" s="3"/>
      <c r="J858" s="3"/>
    </row>
    <row r="859" spans="9:10" ht="14.6" x14ac:dyDescent="0.4">
      <c r="I859" s="3"/>
      <c r="J859" s="3"/>
    </row>
    <row r="860" spans="9:10" ht="14.6" x14ac:dyDescent="0.4">
      <c r="I860" s="3"/>
      <c r="J860" s="3"/>
    </row>
    <row r="861" spans="9:10" ht="14.6" x14ac:dyDescent="0.4">
      <c r="I861" s="3"/>
      <c r="J861" s="3"/>
    </row>
    <row r="862" spans="9:10" ht="14.6" x14ac:dyDescent="0.4">
      <c r="I862" s="3"/>
      <c r="J862" s="3"/>
    </row>
    <row r="863" spans="9:10" ht="14.6" x14ac:dyDescent="0.4">
      <c r="I863" s="3"/>
      <c r="J863" s="3"/>
    </row>
    <row r="864" spans="9:10" ht="14.6" x14ac:dyDescent="0.4">
      <c r="I864" s="3"/>
      <c r="J864" s="3"/>
    </row>
    <row r="865" spans="9:10" ht="14.6" x14ac:dyDescent="0.4">
      <c r="I865" s="3"/>
      <c r="J865" s="3"/>
    </row>
    <row r="866" spans="9:10" ht="14.6" x14ac:dyDescent="0.4">
      <c r="I866" s="3"/>
      <c r="J866" s="3"/>
    </row>
    <row r="867" spans="9:10" ht="14.6" x14ac:dyDescent="0.4">
      <c r="I867" s="3"/>
      <c r="J867" s="3"/>
    </row>
    <row r="868" spans="9:10" ht="14.6" x14ac:dyDescent="0.4">
      <c r="I868" s="3"/>
      <c r="J868" s="3"/>
    </row>
    <row r="869" spans="9:10" ht="14.6" x14ac:dyDescent="0.4">
      <c r="I869" s="3"/>
      <c r="J869" s="3"/>
    </row>
    <row r="870" spans="9:10" ht="14.6" x14ac:dyDescent="0.4">
      <c r="I870" s="3"/>
      <c r="J870" s="3"/>
    </row>
    <row r="871" spans="9:10" ht="14.6" x14ac:dyDescent="0.4">
      <c r="I871" s="3"/>
      <c r="J871" s="3"/>
    </row>
    <row r="872" spans="9:10" ht="14.6" x14ac:dyDescent="0.4">
      <c r="I872" s="3"/>
      <c r="J872" s="3"/>
    </row>
    <row r="873" spans="9:10" ht="14.6" x14ac:dyDescent="0.4">
      <c r="I873" s="3"/>
      <c r="J873" s="3"/>
    </row>
    <row r="874" spans="9:10" ht="14.6" x14ac:dyDescent="0.4">
      <c r="I874" s="3"/>
      <c r="J874" s="3"/>
    </row>
    <row r="875" spans="9:10" ht="14.6" x14ac:dyDescent="0.4">
      <c r="I875" s="3"/>
      <c r="J875" s="3"/>
    </row>
    <row r="876" spans="9:10" ht="14.6" x14ac:dyDescent="0.4">
      <c r="I876" s="3"/>
      <c r="J876" s="3"/>
    </row>
    <row r="877" spans="9:10" ht="14.6" x14ac:dyDescent="0.4">
      <c r="I877" s="3"/>
      <c r="J877" s="3"/>
    </row>
    <row r="878" spans="9:10" ht="14.6" x14ac:dyDescent="0.4">
      <c r="I878" s="3"/>
      <c r="J878" s="3"/>
    </row>
    <row r="879" spans="9:10" ht="14.6" x14ac:dyDescent="0.4">
      <c r="I879" s="3"/>
      <c r="J879" s="3"/>
    </row>
    <row r="880" spans="9:10" ht="14.6" x14ac:dyDescent="0.4">
      <c r="I880" s="3"/>
      <c r="J880" s="3"/>
    </row>
    <row r="881" spans="9:10" ht="14.6" x14ac:dyDescent="0.4">
      <c r="I881" s="3"/>
      <c r="J881" s="3"/>
    </row>
    <row r="882" spans="9:10" ht="14.6" x14ac:dyDescent="0.4">
      <c r="I882" s="3"/>
      <c r="J882" s="3"/>
    </row>
    <row r="883" spans="9:10" ht="14.6" x14ac:dyDescent="0.4">
      <c r="I883" s="3"/>
      <c r="J883" s="3"/>
    </row>
    <row r="884" spans="9:10" ht="14.6" x14ac:dyDescent="0.4">
      <c r="I884" s="3"/>
      <c r="J884" s="3"/>
    </row>
    <row r="885" spans="9:10" ht="14.6" x14ac:dyDescent="0.4">
      <c r="I885" s="3"/>
      <c r="J885" s="3"/>
    </row>
    <row r="886" spans="9:10" ht="14.6" x14ac:dyDescent="0.4">
      <c r="I886" s="3"/>
      <c r="J886" s="3"/>
    </row>
    <row r="887" spans="9:10" ht="14.6" x14ac:dyDescent="0.4">
      <c r="I887" s="3"/>
      <c r="J887" s="3"/>
    </row>
    <row r="888" spans="9:10" ht="14.6" x14ac:dyDescent="0.4">
      <c r="I888" s="3"/>
      <c r="J888" s="3"/>
    </row>
    <row r="889" spans="9:10" ht="14.6" x14ac:dyDescent="0.4">
      <c r="I889" s="3"/>
      <c r="J889" s="3"/>
    </row>
    <row r="890" spans="9:10" ht="14.6" x14ac:dyDescent="0.4">
      <c r="I890" s="3"/>
      <c r="J890" s="3"/>
    </row>
    <row r="891" spans="9:10" ht="14.6" x14ac:dyDescent="0.4">
      <c r="I891" s="3"/>
      <c r="J891" s="3"/>
    </row>
    <row r="892" spans="9:10" ht="14.6" x14ac:dyDescent="0.4">
      <c r="I892" s="3"/>
      <c r="J892" s="3"/>
    </row>
    <row r="893" spans="9:10" ht="14.6" x14ac:dyDescent="0.4">
      <c r="I893" s="3"/>
      <c r="J893" s="3"/>
    </row>
    <row r="894" spans="9:10" ht="14.6" x14ac:dyDescent="0.4">
      <c r="I894" s="3"/>
      <c r="J894" s="3"/>
    </row>
    <row r="895" spans="9:10" ht="14.6" x14ac:dyDescent="0.4">
      <c r="I895" s="3"/>
      <c r="J895" s="3"/>
    </row>
    <row r="896" spans="9:10" ht="14.6" x14ac:dyDescent="0.4">
      <c r="I896" s="3"/>
      <c r="J896" s="3"/>
    </row>
    <row r="897" spans="9:10" ht="14.6" x14ac:dyDescent="0.4">
      <c r="I897" s="3"/>
      <c r="J897" s="3"/>
    </row>
    <row r="898" spans="9:10" ht="14.6" x14ac:dyDescent="0.4">
      <c r="I898" s="3"/>
      <c r="J898" s="3"/>
    </row>
    <row r="899" spans="9:10" ht="14.6" x14ac:dyDescent="0.4">
      <c r="I899" s="3"/>
      <c r="J899" s="3"/>
    </row>
    <row r="900" spans="9:10" ht="14.6" x14ac:dyDescent="0.4">
      <c r="I900" s="3"/>
      <c r="J900" s="3"/>
    </row>
    <row r="901" spans="9:10" ht="14.6" x14ac:dyDescent="0.4">
      <c r="I901" s="3"/>
      <c r="J901" s="3"/>
    </row>
    <row r="902" spans="9:10" ht="14.6" x14ac:dyDescent="0.4">
      <c r="I902" s="3"/>
      <c r="J902" s="3"/>
    </row>
    <row r="903" spans="9:10" ht="14.6" x14ac:dyDescent="0.4">
      <c r="I903" s="3"/>
      <c r="J903" s="3"/>
    </row>
    <row r="904" spans="9:10" ht="14.6" x14ac:dyDescent="0.4">
      <c r="I904" s="3"/>
      <c r="J904" s="3"/>
    </row>
    <row r="905" spans="9:10" ht="14.6" x14ac:dyDescent="0.4">
      <c r="I905" s="3"/>
      <c r="J905" s="3"/>
    </row>
    <row r="906" spans="9:10" ht="14.6" x14ac:dyDescent="0.4">
      <c r="I906" s="3"/>
      <c r="J906" s="3"/>
    </row>
    <row r="907" spans="9:10" ht="14.6" x14ac:dyDescent="0.4">
      <c r="I907" s="3"/>
      <c r="J907" s="3"/>
    </row>
    <row r="908" spans="9:10" ht="14.6" x14ac:dyDescent="0.4">
      <c r="I908" s="3"/>
      <c r="J908" s="3"/>
    </row>
    <row r="909" spans="9:10" ht="14.6" x14ac:dyDescent="0.4">
      <c r="I909" s="3"/>
      <c r="J909" s="3"/>
    </row>
    <row r="910" spans="9:10" ht="14.6" x14ac:dyDescent="0.4">
      <c r="I910" s="3"/>
      <c r="J910" s="3"/>
    </row>
    <row r="911" spans="9:10" ht="14.6" x14ac:dyDescent="0.4">
      <c r="I911" s="3"/>
      <c r="J911" s="3"/>
    </row>
    <row r="912" spans="9:10" ht="14.6" x14ac:dyDescent="0.4">
      <c r="I912" s="3"/>
      <c r="J912" s="3"/>
    </row>
    <row r="913" spans="9:10" ht="14.6" x14ac:dyDescent="0.4">
      <c r="I913" s="3"/>
      <c r="J913" s="3"/>
    </row>
    <row r="914" spans="9:10" ht="14.6" x14ac:dyDescent="0.4">
      <c r="I914" s="3"/>
      <c r="J914" s="3"/>
    </row>
    <row r="915" spans="9:10" ht="14.6" x14ac:dyDescent="0.4">
      <c r="I915" s="3"/>
      <c r="J915" s="3"/>
    </row>
    <row r="916" spans="9:10" ht="14.6" x14ac:dyDescent="0.4">
      <c r="I916" s="3"/>
      <c r="J916" s="3"/>
    </row>
    <row r="917" spans="9:10" ht="14.6" x14ac:dyDescent="0.4">
      <c r="I917" s="3"/>
      <c r="J917" s="3"/>
    </row>
    <row r="918" spans="9:10" ht="14.6" x14ac:dyDescent="0.4">
      <c r="I918" s="3"/>
      <c r="J918" s="3"/>
    </row>
    <row r="919" spans="9:10" ht="14.6" x14ac:dyDescent="0.4">
      <c r="I919" s="3"/>
      <c r="J919" s="3"/>
    </row>
    <row r="920" spans="9:10" ht="14.6" x14ac:dyDescent="0.4">
      <c r="I920" s="3"/>
      <c r="J920" s="3"/>
    </row>
    <row r="921" spans="9:10" ht="14.6" x14ac:dyDescent="0.4">
      <c r="I921" s="3"/>
      <c r="J921" s="3"/>
    </row>
    <row r="922" spans="9:10" ht="14.6" x14ac:dyDescent="0.4">
      <c r="I922" s="3"/>
      <c r="J922" s="3"/>
    </row>
    <row r="923" spans="9:10" ht="14.6" x14ac:dyDescent="0.4">
      <c r="I923" s="3"/>
      <c r="J923" s="3"/>
    </row>
    <row r="924" spans="9:10" ht="14.6" x14ac:dyDescent="0.4">
      <c r="I924" s="3"/>
      <c r="J924" s="3"/>
    </row>
    <row r="925" spans="9:10" ht="14.6" x14ac:dyDescent="0.4">
      <c r="I925" s="3"/>
      <c r="J925" s="3"/>
    </row>
    <row r="926" spans="9:10" ht="14.6" x14ac:dyDescent="0.4">
      <c r="I926" s="3"/>
      <c r="J926" s="3"/>
    </row>
    <row r="927" spans="9:10" ht="14.6" x14ac:dyDescent="0.4">
      <c r="I927" s="3"/>
      <c r="J927" s="3"/>
    </row>
    <row r="928" spans="9:10" ht="14.6" x14ac:dyDescent="0.4">
      <c r="I928" s="3"/>
      <c r="J928" s="3"/>
    </row>
    <row r="929" spans="9:10" ht="14.6" x14ac:dyDescent="0.4">
      <c r="I929" s="3"/>
      <c r="J929" s="3"/>
    </row>
    <row r="930" spans="9:10" ht="14.6" x14ac:dyDescent="0.4">
      <c r="I930" s="3"/>
      <c r="J930" s="3"/>
    </row>
    <row r="931" spans="9:10" ht="14.6" x14ac:dyDescent="0.4">
      <c r="I931" s="3"/>
      <c r="J931" s="3"/>
    </row>
    <row r="932" spans="9:10" ht="14.6" x14ac:dyDescent="0.4">
      <c r="I932" s="3"/>
      <c r="J932" s="3"/>
    </row>
    <row r="933" spans="9:10" ht="14.6" x14ac:dyDescent="0.4">
      <c r="I933" s="3"/>
      <c r="J933" s="3"/>
    </row>
    <row r="934" spans="9:10" ht="14.6" x14ac:dyDescent="0.4">
      <c r="I934" s="3"/>
      <c r="J934" s="3"/>
    </row>
    <row r="935" spans="9:10" ht="14.6" x14ac:dyDescent="0.4">
      <c r="I935" s="3"/>
      <c r="J935" s="3"/>
    </row>
    <row r="936" spans="9:10" ht="14.6" x14ac:dyDescent="0.4">
      <c r="I936" s="3"/>
      <c r="J936" s="3"/>
    </row>
    <row r="937" spans="9:10" ht="14.6" x14ac:dyDescent="0.4">
      <c r="I937" s="3"/>
      <c r="J937" s="3"/>
    </row>
    <row r="938" spans="9:10" ht="14.6" x14ac:dyDescent="0.4">
      <c r="I938" s="3"/>
      <c r="J938" s="3"/>
    </row>
    <row r="939" spans="9:10" ht="14.6" x14ac:dyDescent="0.4">
      <c r="I939" s="3"/>
      <c r="J939" s="3"/>
    </row>
    <row r="940" spans="9:10" ht="14.6" x14ac:dyDescent="0.4">
      <c r="I940" s="3"/>
      <c r="J940" s="3"/>
    </row>
    <row r="941" spans="9:10" ht="14.6" x14ac:dyDescent="0.4">
      <c r="I941" s="3"/>
      <c r="J941" s="3"/>
    </row>
    <row r="942" spans="9:10" ht="14.6" x14ac:dyDescent="0.4">
      <c r="I942" s="3"/>
      <c r="J942" s="3"/>
    </row>
    <row r="943" spans="9:10" ht="14.6" x14ac:dyDescent="0.4">
      <c r="I943" s="3"/>
      <c r="J943" s="3"/>
    </row>
    <row r="944" spans="9:10" ht="14.6" x14ac:dyDescent="0.4">
      <c r="I944" s="3"/>
      <c r="J944" s="3"/>
    </row>
    <row r="945" spans="9:10" ht="14.6" x14ac:dyDescent="0.4">
      <c r="I945" s="3"/>
      <c r="J945" s="3"/>
    </row>
    <row r="946" spans="9:10" ht="14.6" x14ac:dyDescent="0.4">
      <c r="I946" s="3"/>
      <c r="J946" s="3"/>
    </row>
    <row r="947" spans="9:10" ht="14.6" x14ac:dyDescent="0.4">
      <c r="I947" s="3"/>
      <c r="J947" s="3"/>
    </row>
    <row r="948" spans="9:10" ht="14.6" x14ac:dyDescent="0.4">
      <c r="I948" s="3"/>
      <c r="J948" s="3"/>
    </row>
    <row r="949" spans="9:10" ht="14.6" x14ac:dyDescent="0.4">
      <c r="I949" s="3"/>
      <c r="J949" s="3"/>
    </row>
    <row r="950" spans="9:10" ht="14.6" x14ac:dyDescent="0.4">
      <c r="I950" s="3"/>
      <c r="J950" s="3"/>
    </row>
    <row r="951" spans="9:10" ht="14.6" x14ac:dyDescent="0.4">
      <c r="I951" s="3"/>
      <c r="J951" s="3"/>
    </row>
    <row r="952" spans="9:10" ht="14.6" x14ac:dyDescent="0.4">
      <c r="I952" s="3"/>
      <c r="J952" s="3"/>
    </row>
    <row r="953" spans="9:10" ht="14.6" x14ac:dyDescent="0.4">
      <c r="I953" s="3"/>
      <c r="J953" s="3"/>
    </row>
    <row r="954" spans="9:10" ht="14.6" x14ac:dyDescent="0.4">
      <c r="I954" s="3"/>
      <c r="J954" s="3"/>
    </row>
    <row r="955" spans="9:10" ht="14.6" x14ac:dyDescent="0.4">
      <c r="I955" s="3"/>
      <c r="J955" s="3"/>
    </row>
    <row r="956" spans="9:10" ht="14.6" x14ac:dyDescent="0.4">
      <c r="I956" s="3"/>
      <c r="J956" s="3"/>
    </row>
    <row r="957" spans="9:10" ht="14.6" x14ac:dyDescent="0.4">
      <c r="I957" s="3"/>
      <c r="J957" s="3"/>
    </row>
    <row r="958" spans="9:10" ht="14.6" x14ac:dyDescent="0.4">
      <c r="I958" s="3"/>
      <c r="J958" s="3"/>
    </row>
    <row r="959" spans="9:10" ht="14.6" x14ac:dyDescent="0.4">
      <c r="I959" s="3"/>
      <c r="J959" s="3"/>
    </row>
    <row r="960" spans="9:10" ht="14.6" x14ac:dyDescent="0.4">
      <c r="I960" s="3"/>
      <c r="J960" s="3"/>
    </row>
    <row r="961" spans="9:10" ht="14.6" x14ac:dyDescent="0.4">
      <c r="I961" s="3"/>
      <c r="J961" s="3"/>
    </row>
    <row r="962" spans="9:10" ht="14.6" x14ac:dyDescent="0.4">
      <c r="I962" s="3"/>
      <c r="J962" s="3"/>
    </row>
    <row r="963" spans="9:10" ht="14.6" x14ac:dyDescent="0.4">
      <c r="I963" s="3"/>
      <c r="J963" s="3"/>
    </row>
    <row r="964" spans="9:10" ht="14.6" x14ac:dyDescent="0.4">
      <c r="I964" s="3"/>
      <c r="J964" s="3"/>
    </row>
    <row r="965" spans="9:10" ht="14.6" x14ac:dyDescent="0.4">
      <c r="I965" s="3"/>
      <c r="J965" s="3"/>
    </row>
    <row r="966" spans="9:10" ht="14.6" x14ac:dyDescent="0.4">
      <c r="I966" s="3"/>
      <c r="J966" s="3"/>
    </row>
    <row r="967" spans="9:10" ht="14.6" x14ac:dyDescent="0.4">
      <c r="I967" s="3"/>
      <c r="J967" s="3"/>
    </row>
    <row r="968" spans="9:10" ht="14.6" x14ac:dyDescent="0.4">
      <c r="I968" s="3"/>
      <c r="J968" s="3"/>
    </row>
    <row r="969" spans="9:10" ht="14.6" x14ac:dyDescent="0.4">
      <c r="I969" s="3"/>
      <c r="J969" s="3"/>
    </row>
    <row r="970" spans="9:10" ht="14.6" x14ac:dyDescent="0.4">
      <c r="I970" s="3"/>
      <c r="J970" s="3"/>
    </row>
    <row r="971" spans="9:10" ht="14.6" x14ac:dyDescent="0.4">
      <c r="I971" s="3"/>
      <c r="J971" s="3"/>
    </row>
    <row r="972" spans="9:10" ht="14.6" x14ac:dyDescent="0.4">
      <c r="I972" s="3"/>
      <c r="J972" s="3"/>
    </row>
    <row r="973" spans="9:10" ht="14.6" x14ac:dyDescent="0.4">
      <c r="I973" s="3"/>
      <c r="J973" s="3"/>
    </row>
    <row r="974" spans="9:10" ht="14.6" x14ac:dyDescent="0.4">
      <c r="I974" s="3"/>
      <c r="J974" s="3"/>
    </row>
    <row r="975" spans="9:10" ht="14.6" x14ac:dyDescent="0.4">
      <c r="I975" s="3"/>
      <c r="J975" s="3"/>
    </row>
    <row r="976" spans="9:10" ht="14.6" x14ac:dyDescent="0.4">
      <c r="I976" s="3"/>
      <c r="J976" s="3"/>
    </row>
    <row r="977" spans="9:10" ht="14.6" x14ac:dyDescent="0.4">
      <c r="I977" s="3"/>
      <c r="J977" s="3"/>
    </row>
    <row r="978" spans="9:10" ht="14.6" x14ac:dyDescent="0.4">
      <c r="I978" s="3"/>
      <c r="J978" s="3"/>
    </row>
    <row r="979" spans="9:10" ht="14.6" x14ac:dyDescent="0.4">
      <c r="I979" s="3"/>
      <c r="J979" s="3"/>
    </row>
    <row r="980" spans="9:10" ht="14.6" x14ac:dyDescent="0.4">
      <c r="I980" s="3"/>
      <c r="J980" s="3"/>
    </row>
    <row r="981" spans="9:10" ht="14.6" x14ac:dyDescent="0.4">
      <c r="I981" s="3"/>
      <c r="J981" s="3"/>
    </row>
    <row r="982" spans="9:10" ht="14.6" x14ac:dyDescent="0.4">
      <c r="I982" s="3"/>
      <c r="J982" s="3"/>
    </row>
    <row r="983" spans="9:10" ht="14.6" x14ac:dyDescent="0.4">
      <c r="I983" s="3"/>
      <c r="J983" s="3"/>
    </row>
    <row r="984" spans="9:10" ht="14.6" x14ac:dyDescent="0.4">
      <c r="I984" s="3"/>
      <c r="J984" s="3"/>
    </row>
    <row r="985" spans="9:10" ht="14.6" x14ac:dyDescent="0.4">
      <c r="I985" s="3"/>
      <c r="J985" s="3"/>
    </row>
    <row r="986" spans="9:10" ht="14.6" x14ac:dyDescent="0.4">
      <c r="I986" s="3"/>
      <c r="J986" s="3"/>
    </row>
    <row r="987" spans="9:10" ht="14.6" x14ac:dyDescent="0.4">
      <c r="I987" s="3"/>
      <c r="J987" s="3"/>
    </row>
    <row r="988" spans="9:10" ht="14.6" x14ac:dyDescent="0.4">
      <c r="I988" s="3"/>
      <c r="J988" s="3"/>
    </row>
    <row r="989" spans="9:10" ht="14.6" x14ac:dyDescent="0.4">
      <c r="I989" s="3"/>
      <c r="J989" s="3"/>
    </row>
    <row r="990" spans="9:10" ht="14.6" x14ac:dyDescent="0.4">
      <c r="I990" s="3"/>
      <c r="J990" s="3"/>
    </row>
    <row r="991" spans="9:10" ht="14.6" x14ac:dyDescent="0.4">
      <c r="I991" s="3"/>
      <c r="J991" s="3"/>
    </row>
    <row r="992" spans="9:10" ht="14.6" x14ac:dyDescent="0.4">
      <c r="I992" s="3"/>
      <c r="J992" s="3"/>
    </row>
    <row r="993" spans="9:10" ht="14.6" x14ac:dyDescent="0.4">
      <c r="I993" s="3"/>
      <c r="J993" s="3"/>
    </row>
    <row r="994" spans="9:10" ht="14.6" x14ac:dyDescent="0.4">
      <c r="I994" s="3"/>
      <c r="J994" s="3"/>
    </row>
    <row r="995" spans="9:10" ht="14.6" x14ac:dyDescent="0.4">
      <c r="I995" s="3"/>
      <c r="J995" s="3"/>
    </row>
    <row r="996" spans="9:10" ht="14.6" x14ac:dyDescent="0.4">
      <c r="I996" s="3"/>
      <c r="J996" s="3"/>
    </row>
    <row r="997" spans="9:10" ht="14.6" x14ac:dyDescent="0.4">
      <c r="I997" s="3"/>
      <c r="J997" s="3"/>
    </row>
    <row r="998" spans="9:10" ht="14.6" x14ac:dyDescent="0.4">
      <c r="I998" s="3"/>
      <c r="J998" s="3"/>
    </row>
    <row r="999" spans="9:10" ht="14.6" x14ac:dyDescent="0.4">
      <c r="I999" s="3"/>
      <c r="J999" s="3"/>
    </row>
    <row r="1000" spans="9:10" ht="14.6" x14ac:dyDescent="0.4">
      <c r="I1000" s="3"/>
      <c r="J1000" s="3"/>
    </row>
  </sheetData>
  <mergeCells count="1">
    <mergeCell ref="M3:O3"/>
  </mergeCells>
  <pageMargins left="0.7" right="0.7" top="0.75" bottom="0.75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G154"/>
  <sheetViews>
    <sheetView workbookViewId="0">
      <pane xSplit="1" ySplit="1" topLeftCell="B77" activePane="bottomRight" state="frozenSplit"/>
      <selection pane="topRight" activeCell="D1" sqref="D1"/>
      <selection pane="bottomLeft" activeCell="A2" sqref="A2"/>
      <selection pane="bottomRight" activeCell="I106" sqref="I106"/>
    </sheetView>
  </sheetViews>
  <sheetFormatPr defaultColWidth="14.3828125" defaultRowHeight="15" customHeight="1" x14ac:dyDescent="0.4"/>
  <cols>
    <col min="1" max="1" width="17.69140625" style="861" bestFit="1" customWidth="1"/>
    <col min="2" max="2" width="10.69140625" style="861" bestFit="1" customWidth="1"/>
    <col min="3" max="3" width="16.53515625" style="861" bestFit="1" customWidth="1"/>
    <col min="4" max="4" width="27.53515625" style="861" bestFit="1" customWidth="1"/>
    <col min="5" max="5" width="30.69140625" style="861" customWidth="1"/>
    <col min="6" max="6" width="9.15234375" style="861" bestFit="1" customWidth="1"/>
  </cols>
  <sheetData>
    <row r="1" spans="1:6" s="889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s="878" customFormat="1" thickTop="1" x14ac:dyDescent="0.4">
      <c r="A2" s="854"/>
      <c r="B2" s="855"/>
      <c r="C2" s="885"/>
      <c r="D2" s="885"/>
      <c r="E2" s="885"/>
      <c r="F2" s="88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575</v>
      </c>
      <c r="B4" s="855">
        <v>43472</v>
      </c>
      <c r="C4" s="854" t="s">
        <v>577</v>
      </c>
      <c r="D4" s="854" t="s">
        <v>592</v>
      </c>
      <c r="E4" s="854" t="s">
        <v>599</v>
      </c>
      <c r="F4" s="856">
        <v>8.64</v>
      </c>
    </row>
    <row r="5" spans="1:6" ht="14.6" x14ac:dyDescent="0.4">
      <c r="A5" s="854" t="s">
        <v>575</v>
      </c>
      <c r="B5" s="855">
        <v>43472</v>
      </c>
      <c r="C5" s="854" t="s">
        <v>578</v>
      </c>
      <c r="D5" s="854" t="s">
        <v>593</v>
      </c>
      <c r="E5" s="854" t="s">
        <v>600</v>
      </c>
      <c r="F5" s="856">
        <v>13.73</v>
      </c>
    </row>
    <row r="6" spans="1:6" ht="14.6" x14ac:dyDescent="0.4">
      <c r="A6" s="854" t="s">
        <v>576</v>
      </c>
      <c r="B6" s="855">
        <v>43483</v>
      </c>
      <c r="C6" s="854" t="s">
        <v>579</v>
      </c>
      <c r="D6" s="854" t="s">
        <v>594</v>
      </c>
      <c r="E6" s="854" t="s">
        <v>601</v>
      </c>
      <c r="F6" s="856">
        <v>71.97</v>
      </c>
    </row>
    <row r="7" spans="1:6" ht="14.6" x14ac:dyDescent="0.4">
      <c r="A7" s="854" t="s">
        <v>576</v>
      </c>
      <c r="B7" s="855">
        <v>43488</v>
      </c>
      <c r="C7" s="854" t="s">
        <v>580</v>
      </c>
      <c r="D7" s="854" t="s">
        <v>596</v>
      </c>
      <c r="E7" s="854" t="s">
        <v>602</v>
      </c>
      <c r="F7" s="856">
        <v>350.15</v>
      </c>
    </row>
    <row r="8" spans="1:6" ht="14.6" x14ac:dyDescent="0.4">
      <c r="A8" s="854" t="s">
        <v>576</v>
      </c>
      <c r="B8" s="855">
        <v>43488</v>
      </c>
      <c r="C8" s="854" t="s">
        <v>581</v>
      </c>
      <c r="D8" s="854" t="s">
        <v>596</v>
      </c>
      <c r="E8" s="854" t="s">
        <v>602</v>
      </c>
      <c r="F8" s="856">
        <v>48.97</v>
      </c>
    </row>
    <row r="9" spans="1:6" ht="14.6" x14ac:dyDescent="0.4">
      <c r="A9" s="854" t="s">
        <v>576</v>
      </c>
      <c r="B9" s="855">
        <v>43493</v>
      </c>
      <c r="C9" s="854" t="s">
        <v>582</v>
      </c>
      <c r="D9" s="854" t="s">
        <v>595</v>
      </c>
      <c r="E9" s="854" t="s">
        <v>603</v>
      </c>
      <c r="F9" s="856">
        <v>45.17</v>
      </c>
    </row>
    <row r="10" spans="1:6" ht="14.6" x14ac:dyDescent="0.4">
      <c r="A10" s="854" t="s">
        <v>576</v>
      </c>
      <c r="B10" s="855">
        <v>43493</v>
      </c>
      <c r="C10" s="854" t="s">
        <v>583</v>
      </c>
      <c r="D10" s="854" t="s">
        <v>595</v>
      </c>
      <c r="E10" s="854" t="s">
        <v>604</v>
      </c>
      <c r="F10" s="856">
        <v>90.34</v>
      </c>
    </row>
    <row r="11" spans="1:6" ht="14.6" x14ac:dyDescent="0.4">
      <c r="A11" s="854" t="s">
        <v>576</v>
      </c>
      <c r="B11" s="855">
        <v>43502</v>
      </c>
      <c r="C11" s="854" t="s">
        <v>584</v>
      </c>
      <c r="D11" s="854" t="s">
        <v>595</v>
      </c>
      <c r="E11" s="854" t="s">
        <v>605</v>
      </c>
      <c r="F11" s="856">
        <v>45.17</v>
      </c>
    </row>
    <row r="12" spans="1:6" ht="14.6" x14ac:dyDescent="0.4">
      <c r="A12" s="854" t="s">
        <v>576</v>
      </c>
      <c r="B12" s="855">
        <v>43508</v>
      </c>
      <c r="C12" s="854" t="s">
        <v>585</v>
      </c>
      <c r="D12" s="854" t="s">
        <v>597</v>
      </c>
      <c r="E12" s="854" t="s">
        <v>606</v>
      </c>
      <c r="F12" s="856">
        <v>73.02</v>
      </c>
    </row>
    <row r="13" spans="1:6" ht="14.6" x14ac:dyDescent="0.4">
      <c r="A13" s="854" t="s">
        <v>576</v>
      </c>
      <c r="B13" s="855">
        <v>43508</v>
      </c>
      <c r="C13" s="854" t="s">
        <v>586</v>
      </c>
      <c r="D13" s="854" t="s">
        <v>595</v>
      </c>
      <c r="E13" s="854" t="s">
        <v>607</v>
      </c>
      <c r="F13" s="856">
        <v>17</v>
      </c>
    </row>
    <row r="14" spans="1:6" ht="14.6" x14ac:dyDescent="0.4">
      <c r="A14" s="854" t="s">
        <v>576</v>
      </c>
      <c r="B14" s="855">
        <v>43510</v>
      </c>
      <c r="C14" s="854" t="s">
        <v>587</v>
      </c>
      <c r="D14" s="854" t="s">
        <v>596</v>
      </c>
      <c r="E14" s="854" t="s">
        <v>602</v>
      </c>
      <c r="F14" s="856">
        <v>46.39</v>
      </c>
    </row>
    <row r="15" spans="1:6" ht="14.6" x14ac:dyDescent="0.4">
      <c r="A15" s="854" t="s">
        <v>576</v>
      </c>
      <c r="B15" s="855">
        <v>43510</v>
      </c>
      <c r="C15" s="854" t="s">
        <v>588</v>
      </c>
      <c r="D15" s="854" t="s">
        <v>596</v>
      </c>
      <c r="E15" s="854" t="s">
        <v>602</v>
      </c>
      <c r="F15" s="856">
        <v>9.8000000000000007</v>
      </c>
    </row>
    <row r="16" spans="1:6" ht="14.6" x14ac:dyDescent="0.4">
      <c r="A16" s="854" t="s">
        <v>576</v>
      </c>
      <c r="B16" s="855">
        <v>43516</v>
      </c>
      <c r="C16" s="854" t="s">
        <v>589</v>
      </c>
      <c r="D16" s="854" t="s">
        <v>598</v>
      </c>
      <c r="E16" s="854" t="s">
        <v>602</v>
      </c>
      <c r="F16" s="856">
        <v>59.93</v>
      </c>
    </row>
    <row r="17" spans="1:6" ht="14.6" x14ac:dyDescent="0.4">
      <c r="A17" s="854" t="s">
        <v>576</v>
      </c>
      <c r="B17" s="855">
        <v>43517</v>
      </c>
      <c r="C17" s="854" t="s">
        <v>590</v>
      </c>
      <c r="D17" s="854" t="s">
        <v>598</v>
      </c>
      <c r="E17" s="854" t="s">
        <v>602</v>
      </c>
      <c r="F17" s="856">
        <v>79.680000000000007</v>
      </c>
    </row>
    <row r="18" spans="1:6" ht="14.6" x14ac:dyDescent="0.4">
      <c r="A18" s="854" t="s">
        <v>576</v>
      </c>
      <c r="B18" s="855">
        <v>43522</v>
      </c>
      <c r="C18" s="854" t="s">
        <v>1156</v>
      </c>
      <c r="D18" s="854" t="s">
        <v>596</v>
      </c>
      <c r="E18" s="854" t="s">
        <v>602</v>
      </c>
      <c r="F18" s="856">
        <v>38.07</v>
      </c>
    </row>
    <row r="19" spans="1:6" ht="14.6" x14ac:dyDescent="0.4">
      <c r="A19" s="854" t="s">
        <v>576</v>
      </c>
      <c r="B19" s="855">
        <v>43522</v>
      </c>
      <c r="C19" s="854" t="s">
        <v>1157</v>
      </c>
      <c r="D19" s="854" t="s">
        <v>596</v>
      </c>
      <c r="E19" s="854" t="s">
        <v>602</v>
      </c>
      <c r="F19" s="856">
        <v>29.99</v>
      </c>
    </row>
    <row r="20" spans="1:6" ht="14.6" x14ac:dyDescent="0.4">
      <c r="A20" s="854" t="s">
        <v>576</v>
      </c>
      <c r="B20" s="855">
        <v>43524</v>
      </c>
      <c r="C20" s="854" t="s">
        <v>1158</v>
      </c>
      <c r="D20" s="854" t="s">
        <v>594</v>
      </c>
      <c r="E20" s="854" t="s">
        <v>602</v>
      </c>
      <c r="F20" s="856">
        <v>99.9</v>
      </c>
    </row>
    <row r="21" spans="1:6" ht="14.6" x14ac:dyDescent="0.4">
      <c r="A21" s="854" t="s">
        <v>576</v>
      </c>
      <c r="B21" s="855">
        <v>43528</v>
      </c>
      <c r="C21" s="854" t="s">
        <v>591</v>
      </c>
      <c r="D21" s="854" t="s">
        <v>595</v>
      </c>
      <c r="E21" s="854" t="s">
        <v>607</v>
      </c>
      <c r="F21" s="856">
        <v>17</v>
      </c>
    </row>
    <row r="22" spans="1:6" ht="14.6" x14ac:dyDescent="0.4">
      <c r="A22" s="854" t="s">
        <v>576</v>
      </c>
      <c r="B22" s="855">
        <v>43536</v>
      </c>
      <c r="C22" s="854" t="s">
        <v>1161</v>
      </c>
      <c r="D22" s="854" t="s">
        <v>594</v>
      </c>
      <c r="E22" s="854" t="s">
        <v>602</v>
      </c>
      <c r="F22" s="856">
        <v>61.29</v>
      </c>
    </row>
    <row r="23" spans="1:6" ht="14.6" x14ac:dyDescent="0.4">
      <c r="A23" s="854" t="s">
        <v>576</v>
      </c>
      <c r="B23" s="855">
        <v>43537</v>
      </c>
      <c r="C23" s="854" t="s">
        <v>1162</v>
      </c>
      <c r="D23" s="854" t="s">
        <v>596</v>
      </c>
      <c r="E23" s="854" t="s">
        <v>602</v>
      </c>
      <c r="F23" s="856">
        <v>131.63</v>
      </c>
    </row>
    <row r="24" spans="1:6" ht="14.6" x14ac:dyDescent="0.4">
      <c r="A24" s="854" t="s">
        <v>576</v>
      </c>
      <c r="B24" s="855">
        <v>43538</v>
      </c>
      <c r="C24" s="854" t="s">
        <v>1163</v>
      </c>
      <c r="D24" s="854" t="s">
        <v>596</v>
      </c>
      <c r="E24" s="854" t="s">
        <v>602</v>
      </c>
      <c r="F24" s="856">
        <v>19.989999999999998</v>
      </c>
    </row>
    <row r="25" spans="1:6" ht="14.6" x14ac:dyDescent="0.4">
      <c r="A25" s="854" t="s">
        <v>576</v>
      </c>
      <c r="B25" s="855">
        <v>43538</v>
      </c>
      <c r="C25" s="854" t="s">
        <v>1164</v>
      </c>
      <c r="D25" s="854" t="s">
        <v>1181</v>
      </c>
      <c r="E25" s="854" t="s">
        <v>1182</v>
      </c>
      <c r="F25" s="856">
        <v>180</v>
      </c>
    </row>
    <row r="26" spans="1:6" ht="14.6" x14ac:dyDescent="0.4">
      <c r="A26" s="854" t="s">
        <v>576</v>
      </c>
      <c r="B26" s="855">
        <v>43538</v>
      </c>
      <c r="C26" s="854" t="s">
        <v>1164</v>
      </c>
      <c r="D26" s="854" t="s">
        <v>1181</v>
      </c>
      <c r="E26" s="854" t="s">
        <v>1183</v>
      </c>
      <c r="F26" s="856">
        <v>180</v>
      </c>
    </row>
    <row r="27" spans="1:6" ht="14.6" x14ac:dyDescent="0.4">
      <c r="A27" s="854" t="s">
        <v>576</v>
      </c>
      <c r="B27" s="855">
        <v>43539</v>
      </c>
      <c r="C27" s="854" t="s">
        <v>1165</v>
      </c>
      <c r="D27" s="854" t="s">
        <v>595</v>
      </c>
      <c r="E27" s="854" t="s">
        <v>1184</v>
      </c>
      <c r="F27" s="856">
        <v>45.17</v>
      </c>
    </row>
    <row r="28" spans="1:6" ht="14.6" x14ac:dyDescent="0.4">
      <c r="A28" s="854" t="s">
        <v>576</v>
      </c>
      <c r="B28" s="855">
        <v>43539</v>
      </c>
      <c r="C28" s="854" t="s">
        <v>1166</v>
      </c>
      <c r="D28" s="854" t="s">
        <v>594</v>
      </c>
      <c r="E28" s="854" t="s">
        <v>1185</v>
      </c>
      <c r="F28" s="856">
        <v>53</v>
      </c>
    </row>
    <row r="29" spans="1:6" ht="14.6" x14ac:dyDescent="0.4">
      <c r="A29" s="854" t="s">
        <v>576</v>
      </c>
      <c r="B29" s="855">
        <v>43544</v>
      </c>
      <c r="C29" s="854" t="s">
        <v>1168</v>
      </c>
      <c r="D29" s="854" t="s">
        <v>594</v>
      </c>
      <c r="E29" s="854" t="s">
        <v>1186</v>
      </c>
      <c r="F29" s="856">
        <v>61.29</v>
      </c>
    </row>
    <row r="30" spans="1:6" ht="14.6" x14ac:dyDescent="0.4">
      <c r="A30" s="854" t="s">
        <v>689</v>
      </c>
      <c r="B30" s="855">
        <v>43544</v>
      </c>
      <c r="C30" s="854" t="s">
        <v>1161</v>
      </c>
      <c r="D30" s="854" t="s">
        <v>594</v>
      </c>
      <c r="E30" s="854" t="s">
        <v>1187</v>
      </c>
      <c r="F30" s="856">
        <v>-61.29</v>
      </c>
    </row>
    <row r="31" spans="1:6" ht="14.6" x14ac:dyDescent="0.4">
      <c r="A31" s="854" t="s">
        <v>576</v>
      </c>
      <c r="B31" s="855">
        <v>43544</v>
      </c>
      <c r="C31" s="854" t="s">
        <v>1169</v>
      </c>
      <c r="D31" s="854" t="s">
        <v>594</v>
      </c>
      <c r="E31" s="854" t="s">
        <v>1188</v>
      </c>
      <c r="F31" s="856">
        <v>50</v>
      </c>
    </row>
    <row r="32" spans="1:6" ht="14.6" x14ac:dyDescent="0.4">
      <c r="A32" s="854" t="s">
        <v>689</v>
      </c>
      <c r="B32" s="855">
        <v>43544</v>
      </c>
      <c r="C32" s="854" t="s">
        <v>1166</v>
      </c>
      <c r="D32" s="854" t="s">
        <v>594</v>
      </c>
      <c r="E32" s="854" t="s">
        <v>1185</v>
      </c>
      <c r="F32" s="856">
        <v>-53</v>
      </c>
    </row>
    <row r="33" spans="1:6" ht="14.6" x14ac:dyDescent="0.4">
      <c r="A33" s="854" t="s">
        <v>576</v>
      </c>
      <c r="B33" s="855">
        <v>43545</v>
      </c>
      <c r="C33" s="854" t="s">
        <v>1170</v>
      </c>
      <c r="D33" s="854" t="s">
        <v>596</v>
      </c>
      <c r="E33" s="854" t="s">
        <v>602</v>
      </c>
      <c r="F33" s="856">
        <v>113.49</v>
      </c>
    </row>
    <row r="34" spans="1:6" ht="14.6" x14ac:dyDescent="0.4">
      <c r="A34" s="854" t="s">
        <v>576</v>
      </c>
      <c r="B34" s="855">
        <v>43545</v>
      </c>
      <c r="C34" s="854" t="s">
        <v>1171</v>
      </c>
      <c r="D34" s="854" t="s">
        <v>595</v>
      </c>
      <c r="E34" s="854" t="s">
        <v>1189</v>
      </c>
      <c r="F34" s="856">
        <v>55.09</v>
      </c>
    </row>
    <row r="35" spans="1:6" ht="14.6" x14ac:dyDescent="0.4">
      <c r="A35" s="854" t="s">
        <v>576</v>
      </c>
      <c r="B35" s="855">
        <v>43546</v>
      </c>
      <c r="C35" s="854" t="s">
        <v>1172</v>
      </c>
      <c r="D35" s="854" t="s">
        <v>596</v>
      </c>
      <c r="E35" s="854" t="s">
        <v>602</v>
      </c>
      <c r="F35" s="856">
        <v>54.79</v>
      </c>
    </row>
    <row r="36" spans="1:6" ht="14.6" x14ac:dyDescent="0.4">
      <c r="A36" s="854" t="s">
        <v>576</v>
      </c>
      <c r="B36" s="855">
        <v>43549</v>
      </c>
      <c r="C36" s="854" t="s">
        <v>1173</v>
      </c>
      <c r="D36" s="854" t="s">
        <v>595</v>
      </c>
      <c r="E36" s="854" t="s">
        <v>1190</v>
      </c>
      <c r="F36" s="856">
        <v>45.17</v>
      </c>
    </row>
    <row r="37" spans="1:6" ht="14.6" x14ac:dyDescent="0.4">
      <c r="A37" s="854" t="s">
        <v>576</v>
      </c>
      <c r="B37" s="855">
        <v>43549</v>
      </c>
      <c r="C37" s="854" t="s">
        <v>1174</v>
      </c>
      <c r="D37" s="854" t="s">
        <v>595</v>
      </c>
      <c r="E37" s="854" t="s">
        <v>602</v>
      </c>
      <c r="F37" s="856">
        <v>42</v>
      </c>
    </row>
    <row r="38" spans="1:6" ht="14.6" x14ac:dyDescent="0.4">
      <c r="A38" s="854" t="s">
        <v>576</v>
      </c>
      <c r="B38" s="855">
        <v>43549</v>
      </c>
      <c r="C38" s="854" t="s">
        <v>1175</v>
      </c>
      <c r="D38" s="854" t="s">
        <v>595</v>
      </c>
      <c r="E38" s="854" t="s">
        <v>602</v>
      </c>
      <c r="F38" s="856">
        <v>34</v>
      </c>
    </row>
    <row r="39" spans="1:6" ht="14.6" x14ac:dyDescent="0.4">
      <c r="A39" s="854" t="s">
        <v>576</v>
      </c>
      <c r="B39" s="855">
        <v>43550</v>
      </c>
      <c r="C39" s="854" t="s">
        <v>1176</v>
      </c>
      <c r="D39" s="854" t="s">
        <v>596</v>
      </c>
      <c r="E39" s="854" t="s">
        <v>602</v>
      </c>
      <c r="F39" s="856">
        <v>117.92</v>
      </c>
    </row>
    <row r="40" spans="1:6" ht="14.6" x14ac:dyDescent="0.4">
      <c r="A40" s="854" t="s">
        <v>576</v>
      </c>
      <c r="B40" s="855">
        <v>43552</v>
      </c>
      <c r="C40" s="854" t="s">
        <v>1177</v>
      </c>
      <c r="D40" s="854" t="s">
        <v>594</v>
      </c>
      <c r="E40" s="854" t="s">
        <v>602</v>
      </c>
      <c r="F40" s="856">
        <v>149.75</v>
      </c>
    </row>
    <row r="41" spans="1:6" ht="14.6" x14ac:dyDescent="0.4">
      <c r="A41" s="854" t="s">
        <v>576</v>
      </c>
      <c r="B41" s="855">
        <v>43556</v>
      </c>
      <c r="C41" s="854" t="s">
        <v>1178</v>
      </c>
      <c r="D41" s="854" t="s">
        <v>596</v>
      </c>
      <c r="E41" s="854" t="s">
        <v>602</v>
      </c>
      <c r="F41" s="856">
        <v>351.56</v>
      </c>
    </row>
    <row r="42" spans="1:6" ht="14.6" x14ac:dyDescent="0.4">
      <c r="A42" s="854" t="s">
        <v>689</v>
      </c>
      <c r="B42" s="855">
        <v>43557</v>
      </c>
      <c r="C42" s="854" t="s">
        <v>1179</v>
      </c>
      <c r="D42" s="854" t="s">
        <v>596</v>
      </c>
      <c r="E42" s="854" t="s">
        <v>1191</v>
      </c>
      <c r="F42" s="856">
        <v>-6.49</v>
      </c>
    </row>
    <row r="43" spans="1:6" ht="14.6" x14ac:dyDescent="0.4">
      <c r="A43" s="854" t="s">
        <v>576</v>
      </c>
      <c r="B43" s="855">
        <v>43557</v>
      </c>
      <c r="C43" s="854" t="s">
        <v>1180</v>
      </c>
      <c r="D43" s="854" t="s">
        <v>594</v>
      </c>
      <c r="E43" s="854" t="s">
        <v>602</v>
      </c>
      <c r="F43" s="856">
        <v>25.41</v>
      </c>
    </row>
    <row r="44" spans="1:6" ht="14.6" x14ac:dyDescent="0.4">
      <c r="A44" s="854" t="s">
        <v>576</v>
      </c>
      <c r="B44" s="855">
        <v>43574</v>
      </c>
      <c r="C44" s="854" t="s">
        <v>1439</v>
      </c>
      <c r="D44" s="854" t="s">
        <v>595</v>
      </c>
      <c r="E44" s="854" t="s">
        <v>1564</v>
      </c>
      <c r="F44" s="856">
        <v>14</v>
      </c>
    </row>
    <row r="45" spans="1:6" ht="14.6" x14ac:dyDescent="0.4">
      <c r="A45" s="854" t="s">
        <v>576</v>
      </c>
      <c r="B45" s="855">
        <v>43579</v>
      </c>
      <c r="C45" s="854" t="s">
        <v>1557</v>
      </c>
      <c r="D45" s="854" t="s">
        <v>594</v>
      </c>
      <c r="E45" s="854" t="s">
        <v>602</v>
      </c>
      <c r="F45" s="856">
        <v>4.3099999999999996</v>
      </c>
    </row>
    <row r="46" spans="1:6" ht="14.6" x14ac:dyDescent="0.4">
      <c r="A46" s="854" t="s">
        <v>576</v>
      </c>
      <c r="B46" s="855">
        <v>43579</v>
      </c>
      <c r="C46" s="854" t="s">
        <v>1558</v>
      </c>
      <c r="D46" s="854" t="s">
        <v>594</v>
      </c>
      <c r="E46" s="854" t="s">
        <v>602</v>
      </c>
      <c r="F46" s="856">
        <v>85.97</v>
      </c>
    </row>
    <row r="47" spans="1:6" ht="14.6" x14ac:dyDescent="0.4">
      <c r="A47" s="854" t="s">
        <v>576</v>
      </c>
      <c r="B47" s="855">
        <v>43579</v>
      </c>
      <c r="C47" s="854" t="s">
        <v>1559</v>
      </c>
      <c r="D47" s="854" t="s">
        <v>594</v>
      </c>
      <c r="E47" s="854" t="s">
        <v>602</v>
      </c>
      <c r="F47" s="856">
        <v>8.17</v>
      </c>
    </row>
    <row r="48" spans="1:6" ht="14.6" x14ac:dyDescent="0.4">
      <c r="A48" s="854" t="s">
        <v>576</v>
      </c>
      <c r="B48" s="855">
        <v>43579</v>
      </c>
      <c r="C48" s="854" t="s">
        <v>1560</v>
      </c>
      <c r="D48" s="854" t="s">
        <v>594</v>
      </c>
      <c r="E48" s="854" t="s">
        <v>602</v>
      </c>
      <c r="F48" s="856">
        <v>8.6300000000000008</v>
      </c>
    </row>
    <row r="49" spans="1:6" ht="14.6" x14ac:dyDescent="0.4">
      <c r="A49" s="854" t="s">
        <v>576</v>
      </c>
      <c r="B49" s="855">
        <v>43580</v>
      </c>
      <c r="C49" s="854" t="s">
        <v>1561</v>
      </c>
      <c r="D49" s="854" t="s">
        <v>596</v>
      </c>
      <c r="E49" s="854" t="s">
        <v>602</v>
      </c>
      <c r="F49" s="856">
        <v>71.92</v>
      </c>
    </row>
    <row r="50" spans="1:6" ht="14.6" x14ac:dyDescent="0.4">
      <c r="A50" s="854" t="s">
        <v>576</v>
      </c>
      <c r="B50" s="855">
        <v>43584</v>
      </c>
      <c r="C50" s="854" t="s">
        <v>1562</v>
      </c>
      <c r="D50" s="854" t="s">
        <v>594</v>
      </c>
      <c r="E50" s="854" t="s">
        <v>602</v>
      </c>
      <c r="F50" s="856">
        <v>23.99</v>
      </c>
    </row>
    <row r="51" spans="1:6" ht="14.6" x14ac:dyDescent="0.4">
      <c r="A51" s="854" t="s">
        <v>576</v>
      </c>
      <c r="B51" s="855">
        <v>43588</v>
      </c>
      <c r="C51" s="854" t="s">
        <v>1563</v>
      </c>
      <c r="D51" s="854" t="s">
        <v>596</v>
      </c>
      <c r="E51" s="854" t="s">
        <v>602</v>
      </c>
      <c r="F51" s="856">
        <v>112.04</v>
      </c>
    </row>
    <row r="52" spans="1:6" ht="14.6" x14ac:dyDescent="0.4">
      <c r="A52" s="854" t="s">
        <v>576</v>
      </c>
      <c r="B52" s="855">
        <v>43593</v>
      </c>
      <c r="C52" s="854" t="s">
        <v>1666</v>
      </c>
      <c r="D52" s="854" t="s">
        <v>596</v>
      </c>
      <c r="E52" s="854" t="s">
        <v>602</v>
      </c>
      <c r="F52" s="856">
        <v>59.74</v>
      </c>
    </row>
    <row r="53" spans="1:6" ht="14.6" x14ac:dyDescent="0.4">
      <c r="A53" s="854" t="s">
        <v>576</v>
      </c>
      <c r="B53" s="855">
        <v>43595</v>
      </c>
      <c r="C53" s="854" t="s">
        <v>1667</v>
      </c>
      <c r="D53" s="854" t="s">
        <v>594</v>
      </c>
      <c r="E53" s="854" t="s">
        <v>602</v>
      </c>
      <c r="F53" s="856">
        <v>31.96</v>
      </c>
    </row>
    <row r="54" spans="1:6" ht="14.6" x14ac:dyDescent="0.4">
      <c r="A54" s="854" t="s">
        <v>576</v>
      </c>
      <c r="B54" s="855">
        <v>43598</v>
      </c>
      <c r="C54" s="854" t="s">
        <v>1668</v>
      </c>
      <c r="D54" s="854" t="s">
        <v>596</v>
      </c>
      <c r="E54" s="854" t="s">
        <v>602</v>
      </c>
      <c r="F54" s="856">
        <v>329.9</v>
      </c>
    </row>
    <row r="55" spans="1:6" ht="14.6" x14ac:dyDescent="0.4">
      <c r="A55" s="854" t="s">
        <v>575</v>
      </c>
      <c r="B55" s="855">
        <v>43601</v>
      </c>
      <c r="C55" s="854" t="s">
        <v>1669</v>
      </c>
      <c r="D55" s="854" t="s">
        <v>1675</v>
      </c>
      <c r="E55" s="854" t="s">
        <v>1676</v>
      </c>
      <c r="F55" s="856">
        <v>21.94</v>
      </c>
    </row>
    <row r="56" spans="1:6" ht="14.6" x14ac:dyDescent="0.4">
      <c r="A56" s="854" t="s">
        <v>576</v>
      </c>
      <c r="B56" s="855">
        <v>43606</v>
      </c>
      <c r="C56" s="854" t="s">
        <v>1670</v>
      </c>
      <c r="D56" s="854" t="s">
        <v>596</v>
      </c>
      <c r="E56" s="854" t="s">
        <v>602</v>
      </c>
      <c r="F56" s="856">
        <v>61.85</v>
      </c>
    </row>
    <row r="57" spans="1:6" ht="14.6" x14ac:dyDescent="0.4">
      <c r="A57" s="854" t="s">
        <v>576</v>
      </c>
      <c r="B57" s="855">
        <v>43615</v>
      </c>
      <c r="C57" s="854" t="s">
        <v>1671</v>
      </c>
      <c r="D57" s="854" t="s">
        <v>596</v>
      </c>
      <c r="E57" s="854" t="s">
        <v>602</v>
      </c>
      <c r="F57" s="856">
        <v>77</v>
      </c>
    </row>
    <row r="58" spans="1:6" ht="14.6" x14ac:dyDescent="0.4">
      <c r="A58" s="854" t="s">
        <v>576</v>
      </c>
      <c r="B58" s="855">
        <v>43615</v>
      </c>
      <c r="C58" s="854" t="s">
        <v>1672</v>
      </c>
      <c r="D58" s="854" t="s">
        <v>594</v>
      </c>
      <c r="E58" s="854" t="s">
        <v>1677</v>
      </c>
      <c r="F58" s="856">
        <v>0</v>
      </c>
    </row>
    <row r="59" spans="1:6" ht="14.6" x14ac:dyDescent="0.4">
      <c r="A59" s="854" t="s">
        <v>576</v>
      </c>
      <c r="B59" s="855">
        <v>43615</v>
      </c>
      <c r="C59" s="854" t="s">
        <v>1672</v>
      </c>
      <c r="D59" s="854" t="s">
        <v>594</v>
      </c>
      <c r="E59" s="854" t="s">
        <v>1678</v>
      </c>
      <c r="F59" s="856">
        <v>13.6</v>
      </c>
    </row>
    <row r="60" spans="1:6" ht="14.6" x14ac:dyDescent="0.4">
      <c r="A60" s="854" t="s">
        <v>576</v>
      </c>
      <c r="B60" s="855">
        <v>43615</v>
      </c>
      <c r="C60" s="854" t="s">
        <v>1672</v>
      </c>
      <c r="D60" s="854" t="s">
        <v>594</v>
      </c>
      <c r="E60" s="854" t="s">
        <v>1679</v>
      </c>
      <c r="F60" s="856">
        <v>18.920000000000002</v>
      </c>
    </row>
    <row r="61" spans="1:6" ht="14.6" x14ac:dyDescent="0.4">
      <c r="A61" s="854" t="s">
        <v>576</v>
      </c>
      <c r="B61" s="855">
        <v>43619</v>
      </c>
      <c r="C61" s="854" t="s">
        <v>1512</v>
      </c>
      <c r="D61" s="854" t="s">
        <v>1194</v>
      </c>
      <c r="E61" s="854" t="s">
        <v>1680</v>
      </c>
      <c r="F61" s="856">
        <v>175</v>
      </c>
    </row>
    <row r="62" spans="1:6" ht="14.6" x14ac:dyDescent="0.4">
      <c r="A62" s="854" t="s">
        <v>576</v>
      </c>
      <c r="B62" s="855">
        <v>43620</v>
      </c>
      <c r="C62" s="854" t="s">
        <v>1673</v>
      </c>
      <c r="D62" s="854" t="s">
        <v>595</v>
      </c>
      <c r="E62" s="854" t="s">
        <v>1681</v>
      </c>
      <c r="F62" s="856">
        <v>57</v>
      </c>
    </row>
    <row r="63" spans="1:6" ht="14.6" x14ac:dyDescent="0.4">
      <c r="A63" s="854" t="s">
        <v>576</v>
      </c>
      <c r="B63" s="855">
        <v>43629</v>
      </c>
      <c r="C63" s="854" t="s">
        <v>1674</v>
      </c>
      <c r="D63" s="854" t="s">
        <v>596</v>
      </c>
      <c r="E63" s="854" t="s">
        <v>1682</v>
      </c>
      <c r="F63" s="856">
        <v>329.9</v>
      </c>
    </row>
    <row r="64" spans="1:6" ht="14.6" x14ac:dyDescent="0.4">
      <c r="A64" s="854" t="s">
        <v>576</v>
      </c>
      <c r="B64" s="855">
        <v>43629</v>
      </c>
      <c r="C64" s="854" t="s">
        <v>1674</v>
      </c>
      <c r="D64" s="854" t="s">
        <v>596</v>
      </c>
      <c r="E64" s="854" t="s">
        <v>1683</v>
      </c>
      <c r="F64" s="856">
        <v>49.49</v>
      </c>
    </row>
    <row r="65" spans="1:6" ht="14.6" x14ac:dyDescent="0.4">
      <c r="A65" s="854" t="s">
        <v>576</v>
      </c>
      <c r="B65" s="855">
        <v>43636</v>
      </c>
      <c r="C65" s="854" t="s">
        <v>1888</v>
      </c>
      <c r="D65" s="854" t="s">
        <v>594</v>
      </c>
      <c r="E65" s="854" t="s">
        <v>602</v>
      </c>
      <c r="F65" s="856">
        <v>36.659999999999997</v>
      </c>
    </row>
    <row r="66" spans="1:6" ht="14.6" x14ac:dyDescent="0.4">
      <c r="A66" s="854" t="s">
        <v>576</v>
      </c>
      <c r="B66" s="855">
        <v>43642</v>
      </c>
      <c r="C66" s="854" t="s">
        <v>1889</v>
      </c>
      <c r="D66" s="854" t="s">
        <v>595</v>
      </c>
      <c r="E66" s="854" t="s">
        <v>1894</v>
      </c>
      <c r="F66" s="856">
        <v>17</v>
      </c>
    </row>
    <row r="67" spans="1:6" ht="14.6" x14ac:dyDescent="0.4">
      <c r="A67" s="854" t="s">
        <v>576</v>
      </c>
      <c r="B67" s="855">
        <v>43643</v>
      </c>
      <c r="C67" s="854" t="s">
        <v>1890</v>
      </c>
      <c r="D67" s="854" t="s">
        <v>596</v>
      </c>
      <c r="E67" s="854" t="s">
        <v>1683</v>
      </c>
      <c r="F67" s="856">
        <v>52.56</v>
      </c>
    </row>
    <row r="68" spans="1:6" ht="14.6" x14ac:dyDescent="0.4">
      <c r="A68" s="854" t="s">
        <v>575</v>
      </c>
      <c r="B68" s="855">
        <v>43643</v>
      </c>
      <c r="C68" s="854" t="s">
        <v>1891</v>
      </c>
      <c r="D68" s="854" t="s">
        <v>1675</v>
      </c>
      <c r="E68" s="854" t="s">
        <v>1895</v>
      </c>
      <c r="F68" s="856">
        <v>89.99</v>
      </c>
    </row>
    <row r="69" spans="1:6" ht="14.6" x14ac:dyDescent="0.4">
      <c r="A69" s="854" t="s">
        <v>576</v>
      </c>
      <c r="B69" s="855">
        <v>43646</v>
      </c>
      <c r="C69" s="854" t="s">
        <v>1892</v>
      </c>
      <c r="D69" s="854" t="s">
        <v>595</v>
      </c>
      <c r="E69" s="854" t="s">
        <v>1896</v>
      </c>
      <c r="F69" s="856">
        <v>17</v>
      </c>
    </row>
    <row r="70" spans="1:6" ht="14.6" x14ac:dyDescent="0.4">
      <c r="A70" s="854" t="s">
        <v>576</v>
      </c>
      <c r="B70" s="855">
        <v>43648</v>
      </c>
      <c r="C70" s="854" t="s">
        <v>1893</v>
      </c>
      <c r="D70" s="854" t="s">
        <v>595</v>
      </c>
      <c r="E70" s="854" t="s">
        <v>1897</v>
      </c>
      <c r="F70" s="856">
        <v>45.17</v>
      </c>
    </row>
    <row r="71" spans="1:6" ht="14.6" x14ac:dyDescent="0.4">
      <c r="A71" s="854" t="s">
        <v>576</v>
      </c>
      <c r="B71" s="855">
        <v>43663</v>
      </c>
      <c r="C71" s="854" t="s">
        <v>1584</v>
      </c>
      <c r="D71" s="854" t="s">
        <v>2084</v>
      </c>
      <c r="E71" s="854" t="s">
        <v>2087</v>
      </c>
      <c r="F71" s="856">
        <v>114.76</v>
      </c>
    </row>
    <row r="72" spans="1:6" ht="14.6" x14ac:dyDescent="0.4">
      <c r="A72" s="854" t="s">
        <v>576</v>
      </c>
      <c r="B72" s="855">
        <v>43669</v>
      </c>
      <c r="C72" s="854" t="s">
        <v>2060</v>
      </c>
      <c r="D72" s="854" t="s">
        <v>595</v>
      </c>
      <c r="E72" s="854" t="s">
        <v>2088</v>
      </c>
      <c r="F72" s="856">
        <v>14</v>
      </c>
    </row>
    <row r="73" spans="1:6" ht="14.6" x14ac:dyDescent="0.4">
      <c r="A73" s="854" t="s">
        <v>576</v>
      </c>
      <c r="B73" s="855">
        <v>43675</v>
      </c>
      <c r="C73" s="854" t="s">
        <v>2061</v>
      </c>
      <c r="D73" s="854" t="s">
        <v>594</v>
      </c>
      <c r="E73" s="854" t="s">
        <v>600</v>
      </c>
      <c r="F73" s="856">
        <v>75.430000000000007</v>
      </c>
    </row>
    <row r="74" spans="1:6" ht="14.6" x14ac:dyDescent="0.4">
      <c r="A74" s="854" t="s">
        <v>576</v>
      </c>
      <c r="B74" s="855">
        <v>43676</v>
      </c>
      <c r="C74" s="854" t="s">
        <v>2062</v>
      </c>
      <c r="D74" s="854" t="s">
        <v>596</v>
      </c>
      <c r="E74" s="854" t="s">
        <v>1683</v>
      </c>
      <c r="F74" s="856">
        <v>125.6</v>
      </c>
    </row>
    <row r="75" spans="1:6" ht="14.6" x14ac:dyDescent="0.4">
      <c r="A75" s="854" t="s">
        <v>576</v>
      </c>
      <c r="B75" s="855">
        <v>43676</v>
      </c>
      <c r="C75" s="854" t="s">
        <v>2063</v>
      </c>
      <c r="D75" s="854" t="s">
        <v>594</v>
      </c>
      <c r="E75" s="854" t="s">
        <v>2089</v>
      </c>
      <c r="F75" s="856">
        <v>0</v>
      </c>
    </row>
    <row r="76" spans="1:6" ht="14.6" x14ac:dyDescent="0.4">
      <c r="A76" s="854" t="s">
        <v>575</v>
      </c>
      <c r="B76" s="855">
        <v>43676</v>
      </c>
      <c r="C76" s="854" t="s">
        <v>2064</v>
      </c>
      <c r="D76" s="854" t="s">
        <v>1675</v>
      </c>
      <c r="E76" s="854" t="s">
        <v>2090</v>
      </c>
      <c r="F76" s="856">
        <v>21.61</v>
      </c>
    </row>
    <row r="77" spans="1:6" ht="14.6" x14ac:dyDescent="0.4">
      <c r="A77" s="854" t="s">
        <v>576</v>
      </c>
      <c r="B77" s="855">
        <v>43682</v>
      </c>
      <c r="C77" s="854" t="s">
        <v>2065</v>
      </c>
      <c r="D77" s="854" t="s">
        <v>594</v>
      </c>
      <c r="E77" s="854" t="s">
        <v>1222</v>
      </c>
      <c r="F77" s="856">
        <v>0</v>
      </c>
    </row>
    <row r="78" spans="1:6" ht="14.6" x14ac:dyDescent="0.4">
      <c r="A78" s="854" t="s">
        <v>575</v>
      </c>
      <c r="B78" s="855">
        <v>43684</v>
      </c>
      <c r="C78" s="854" t="s">
        <v>2066</v>
      </c>
      <c r="D78" s="854" t="s">
        <v>2085</v>
      </c>
      <c r="E78" s="854" t="s">
        <v>2091</v>
      </c>
      <c r="F78" s="856">
        <v>167.96</v>
      </c>
    </row>
    <row r="79" spans="1:6" ht="14.6" x14ac:dyDescent="0.4">
      <c r="A79" s="854" t="s">
        <v>576</v>
      </c>
      <c r="B79" s="855">
        <v>43685</v>
      </c>
      <c r="C79" s="854" t="s">
        <v>2067</v>
      </c>
      <c r="D79" s="854" t="s">
        <v>595</v>
      </c>
      <c r="E79" s="854" t="s">
        <v>2092</v>
      </c>
      <c r="F79" s="856">
        <v>55.09</v>
      </c>
    </row>
    <row r="80" spans="1:6" ht="14.6" x14ac:dyDescent="0.4">
      <c r="A80" s="854" t="s">
        <v>576</v>
      </c>
      <c r="B80" s="855">
        <v>43686</v>
      </c>
      <c r="C80" s="854" t="s">
        <v>2068</v>
      </c>
      <c r="D80" s="854" t="s">
        <v>596</v>
      </c>
      <c r="E80" s="854" t="s">
        <v>1683</v>
      </c>
      <c r="F80" s="856">
        <v>52.84</v>
      </c>
    </row>
    <row r="81" spans="1:6" ht="14.6" x14ac:dyDescent="0.4">
      <c r="A81" s="854" t="s">
        <v>576</v>
      </c>
      <c r="B81" s="855">
        <v>43689</v>
      </c>
      <c r="C81" s="854" t="s">
        <v>2069</v>
      </c>
      <c r="D81" s="854" t="s">
        <v>595</v>
      </c>
      <c r="E81" s="854" t="s">
        <v>2093</v>
      </c>
      <c r="F81" s="856">
        <v>135.51</v>
      </c>
    </row>
    <row r="82" spans="1:6" ht="14.6" x14ac:dyDescent="0.4">
      <c r="A82" s="854" t="s">
        <v>576</v>
      </c>
      <c r="B82" s="855">
        <v>43692</v>
      </c>
      <c r="C82" s="854" t="s">
        <v>2070</v>
      </c>
      <c r="D82" s="854" t="s">
        <v>594</v>
      </c>
      <c r="E82" s="854" t="s">
        <v>600</v>
      </c>
      <c r="F82" s="856">
        <v>60.62</v>
      </c>
    </row>
    <row r="83" spans="1:6" ht="14.6" x14ac:dyDescent="0.4">
      <c r="A83" s="854" t="s">
        <v>576</v>
      </c>
      <c r="B83" s="855">
        <v>43693</v>
      </c>
      <c r="C83" s="854" t="s">
        <v>2071</v>
      </c>
      <c r="D83" s="854" t="s">
        <v>596</v>
      </c>
      <c r="E83" s="854" t="s">
        <v>1683</v>
      </c>
      <c r="F83" s="856">
        <v>32.75</v>
      </c>
    </row>
    <row r="84" spans="1:6" ht="14.6" x14ac:dyDescent="0.4">
      <c r="A84" s="854" t="s">
        <v>576</v>
      </c>
      <c r="B84" s="855">
        <v>43693</v>
      </c>
      <c r="C84" s="854" t="s">
        <v>2071</v>
      </c>
      <c r="D84" s="854" t="s">
        <v>596</v>
      </c>
      <c r="E84" s="854" t="s">
        <v>2094</v>
      </c>
      <c r="F84" s="856">
        <v>329.9</v>
      </c>
    </row>
    <row r="85" spans="1:6" ht="14.6" x14ac:dyDescent="0.4">
      <c r="A85" s="854" t="s">
        <v>576</v>
      </c>
      <c r="B85" s="855">
        <v>43698</v>
      </c>
      <c r="C85" s="854" t="s">
        <v>2072</v>
      </c>
      <c r="D85" s="854" t="s">
        <v>594</v>
      </c>
      <c r="E85" s="854" t="s">
        <v>600</v>
      </c>
      <c r="F85" s="856">
        <v>10.99</v>
      </c>
    </row>
    <row r="86" spans="1:6" ht="14.6" x14ac:dyDescent="0.4">
      <c r="A86" s="854" t="s">
        <v>689</v>
      </c>
      <c r="B86" s="855">
        <v>43699</v>
      </c>
      <c r="C86" s="854" t="s">
        <v>2073</v>
      </c>
      <c r="D86" s="854" t="s">
        <v>596</v>
      </c>
      <c r="E86" s="854" t="s">
        <v>2095</v>
      </c>
      <c r="F86" s="856">
        <v>-15.36</v>
      </c>
    </row>
    <row r="87" spans="1:6" ht="14.6" x14ac:dyDescent="0.4">
      <c r="A87" s="854" t="s">
        <v>576</v>
      </c>
      <c r="B87" s="855">
        <v>43699</v>
      </c>
      <c r="C87" s="854" t="s">
        <v>2074</v>
      </c>
      <c r="D87" s="854" t="s">
        <v>595</v>
      </c>
      <c r="E87" s="854" t="s">
        <v>2096</v>
      </c>
      <c r="F87" s="856">
        <v>45.17</v>
      </c>
    </row>
    <row r="88" spans="1:6" ht="14.6" x14ac:dyDescent="0.4">
      <c r="A88" s="854" t="s">
        <v>576</v>
      </c>
      <c r="B88" s="855">
        <v>43703</v>
      </c>
      <c r="C88" s="854" t="s">
        <v>2075</v>
      </c>
      <c r="D88" s="854" t="s">
        <v>594</v>
      </c>
      <c r="E88" s="854" t="s">
        <v>2097</v>
      </c>
      <c r="F88" s="856">
        <v>0</v>
      </c>
    </row>
    <row r="89" spans="1:6" ht="14.6" x14ac:dyDescent="0.4">
      <c r="A89" s="854" t="s">
        <v>576</v>
      </c>
      <c r="B89" s="855">
        <v>43704</v>
      </c>
      <c r="C89" s="854" t="s">
        <v>2076</v>
      </c>
      <c r="D89" s="854" t="s">
        <v>594</v>
      </c>
      <c r="E89" s="854" t="s">
        <v>2098</v>
      </c>
      <c r="F89" s="856">
        <v>0</v>
      </c>
    </row>
    <row r="90" spans="1:6" ht="14.6" x14ac:dyDescent="0.4">
      <c r="A90" s="854" t="s">
        <v>576</v>
      </c>
      <c r="B90" s="855">
        <v>43704</v>
      </c>
      <c r="C90" s="854" t="s">
        <v>2076</v>
      </c>
      <c r="D90" s="854" t="s">
        <v>594</v>
      </c>
      <c r="E90" s="854" t="s">
        <v>2099</v>
      </c>
      <c r="F90" s="856">
        <v>43.96</v>
      </c>
    </row>
    <row r="91" spans="1:6" ht="14.6" x14ac:dyDescent="0.4">
      <c r="A91" s="854" t="s">
        <v>576</v>
      </c>
      <c r="B91" s="855">
        <v>43704</v>
      </c>
      <c r="C91" s="854" t="s">
        <v>2077</v>
      </c>
      <c r="D91" s="854" t="s">
        <v>594</v>
      </c>
      <c r="E91" s="854" t="s">
        <v>600</v>
      </c>
      <c r="F91" s="856">
        <v>9.4</v>
      </c>
    </row>
    <row r="92" spans="1:6" ht="14.6" x14ac:dyDescent="0.4">
      <c r="A92" s="854" t="s">
        <v>575</v>
      </c>
      <c r="B92" s="855">
        <v>43704</v>
      </c>
      <c r="C92" s="854" t="s">
        <v>2458</v>
      </c>
      <c r="D92" s="854" t="s">
        <v>2473</v>
      </c>
      <c r="E92" s="854" t="s">
        <v>2478</v>
      </c>
      <c r="F92" s="856">
        <v>251.4</v>
      </c>
    </row>
    <row r="93" spans="1:6" ht="14.6" x14ac:dyDescent="0.4">
      <c r="A93" s="854" t="s">
        <v>576</v>
      </c>
      <c r="B93" s="855">
        <v>43708</v>
      </c>
      <c r="C93" s="854" t="s">
        <v>2079</v>
      </c>
      <c r="D93" s="854" t="s">
        <v>595</v>
      </c>
      <c r="E93" s="854" t="s">
        <v>2100</v>
      </c>
      <c r="F93" s="856">
        <v>45.17</v>
      </c>
    </row>
    <row r="94" spans="1:6" ht="14.6" x14ac:dyDescent="0.4">
      <c r="A94" s="854" t="s">
        <v>576</v>
      </c>
      <c r="B94" s="855">
        <v>43708</v>
      </c>
      <c r="C94" s="854" t="s">
        <v>2080</v>
      </c>
      <c r="D94" s="854" t="s">
        <v>596</v>
      </c>
      <c r="E94" s="854" t="s">
        <v>1683</v>
      </c>
      <c r="F94" s="856">
        <v>54</v>
      </c>
    </row>
    <row r="95" spans="1:6" ht="14.6" x14ac:dyDescent="0.4">
      <c r="A95" s="854" t="s">
        <v>576</v>
      </c>
      <c r="B95" s="855">
        <v>43717</v>
      </c>
      <c r="C95" s="854" t="s">
        <v>2081</v>
      </c>
      <c r="D95" s="854" t="s">
        <v>2086</v>
      </c>
      <c r="E95" s="854" t="s">
        <v>2101</v>
      </c>
      <c r="F95" s="856">
        <v>604.23</v>
      </c>
    </row>
    <row r="96" spans="1:6" ht="14.6" x14ac:dyDescent="0.4">
      <c r="A96" s="854" t="s">
        <v>576</v>
      </c>
      <c r="B96" s="855">
        <v>43721</v>
      </c>
      <c r="C96" s="854" t="s">
        <v>2082</v>
      </c>
      <c r="D96" s="854" t="s">
        <v>595</v>
      </c>
      <c r="E96" s="854" t="s">
        <v>2102</v>
      </c>
      <c r="F96" s="856">
        <v>45.17</v>
      </c>
    </row>
    <row r="97" spans="1:7" ht="14.6" x14ac:dyDescent="0.4">
      <c r="A97" s="854" t="s">
        <v>576</v>
      </c>
      <c r="B97" s="855">
        <v>43721</v>
      </c>
      <c r="C97" s="854" t="s">
        <v>2083</v>
      </c>
      <c r="D97" s="854" t="s">
        <v>595</v>
      </c>
      <c r="E97" s="854" t="s">
        <v>2103</v>
      </c>
      <c r="F97" s="856">
        <v>63.47</v>
      </c>
    </row>
    <row r="98" spans="1:7" ht="14.6" x14ac:dyDescent="0.4">
      <c r="A98" s="854" t="s">
        <v>576</v>
      </c>
      <c r="B98" s="855">
        <v>43721</v>
      </c>
      <c r="C98" s="854" t="s">
        <v>2459</v>
      </c>
      <c r="D98" s="854" t="s">
        <v>595</v>
      </c>
      <c r="E98" s="854" t="s">
        <v>2479</v>
      </c>
      <c r="F98" s="856">
        <v>450</v>
      </c>
    </row>
    <row r="99" spans="1:7" ht="14.6" x14ac:dyDescent="0.4">
      <c r="A99" s="854" t="s">
        <v>576</v>
      </c>
      <c r="B99" s="855">
        <v>43727</v>
      </c>
      <c r="C99" s="854" t="s">
        <v>2460</v>
      </c>
      <c r="D99" s="854" t="s">
        <v>595</v>
      </c>
      <c r="E99" s="854" t="s">
        <v>2480</v>
      </c>
      <c r="F99" s="856">
        <v>45.17</v>
      </c>
    </row>
    <row r="100" spans="1:7" ht="14.6" x14ac:dyDescent="0.4">
      <c r="A100" s="854" t="s">
        <v>576</v>
      </c>
      <c r="B100" s="855">
        <v>43727</v>
      </c>
      <c r="C100" s="854" t="s">
        <v>2460</v>
      </c>
      <c r="D100" s="854" t="s">
        <v>595</v>
      </c>
      <c r="E100" s="854" t="s">
        <v>2481</v>
      </c>
      <c r="F100" s="856">
        <v>45.17</v>
      </c>
    </row>
    <row r="101" spans="1:7" ht="14.6" x14ac:dyDescent="0.4">
      <c r="A101" s="854" t="s">
        <v>576</v>
      </c>
      <c r="B101" s="855">
        <v>43730</v>
      </c>
      <c r="C101" s="854" t="s">
        <v>2461</v>
      </c>
      <c r="D101" s="854" t="s">
        <v>594</v>
      </c>
      <c r="E101" s="854" t="s">
        <v>2482</v>
      </c>
      <c r="G101" s="856">
        <v>0</v>
      </c>
    </row>
    <row r="102" spans="1:7" ht="14.6" x14ac:dyDescent="0.4">
      <c r="A102" s="854" t="s">
        <v>576</v>
      </c>
      <c r="B102" s="855">
        <v>43733</v>
      </c>
      <c r="C102" s="854" t="s">
        <v>2462</v>
      </c>
      <c r="D102" s="854" t="s">
        <v>596</v>
      </c>
      <c r="E102" s="854" t="s">
        <v>1683</v>
      </c>
      <c r="F102" s="856">
        <v>58.35</v>
      </c>
    </row>
    <row r="103" spans="1:7" ht="14.6" x14ac:dyDescent="0.4">
      <c r="A103" s="854" t="s">
        <v>576</v>
      </c>
      <c r="B103" s="855">
        <v>43735</v>
      </c>
      <c r="C103" s="854" t="s">
        <v>2463</v>
      </c>
      <c r="D103" s="854" t="s">
        <v>595</v>
      </c>
      <c r="E103" s="854" t="s">
        <v>2483</v>
      </c>
      <c r="F103" s="856">
        <v>45.17</v>
      </c>
    </row>
    <row r="104" spans="1:7" ht="14.6" x14ac:dyDescent="0.4">
      <c r="A104" s="854" t="s">
        <v>576</v>
      </c>
      <c r="B104" s="855">
        <v>43735</v>
      </c>
      <c r="C104" s="854" t="s">
        <v>2464</v>
      </c>
      <c r="D104" s="854" t="s">
        <v>2086</v>
      </c>
      <c r="E104" s="854" t="s">
        <v>2101</v>
      </c>
      <c r="F104" s="856">
        <v>42.59</v>
      </c>
    </row>
    <row r="105" spans="1:7" ht="14.6" x14ac:dyDescent="0.4">
      <c r="A105" s="854" t="s">
        <v>576</v>
      </c>
      <c r="B105" s="855">
        <v>43740</v>
      </c>
      <c r="C105" s="854" t="s">
        <v>2465</v>
      </c>
      <c r="D105" s="854" t="s">
        <v>596</v>
      </c>
      <c r="E105" s="854" t="s">
        <v>1683</v>
      </c>
      <c r="F105" s="856">
        <v>2.27</v>
      </c>
    </row>
    <row r="106" spans="1:7" ht="14.6" x14ac:dyDescent="0.4">
      <c r="A106" s="854" t="s">
        <v>576</v>
      </c>
      <c r="B106" s="855">
        <v>43740</v>
      </c>
      <c r="C106" s="854" t="s">
        <v>2466</v>
      </c>
      <c r="D106" s="854" t="s">
        <v>596</v>
      </c>
      <c r="E106" s="854" t="s">
        <v>2094</v>
      </c>
      <c r="F106" s="856">
        <v>15.96</v>
      </c>
    </row>
    <row r="107" spans="1:7" ht="14.6" x14ac:dyDescent="0.4">
      <c r="A107" s="854" t="s">
        <v>576</v>
      </c>
      <c r="B107" s="855">
        <v>43740</v>
      </c>
      <c r="C107" s="854" t="s">
        <v>2466</v>
      </c>
      <c r="D107" s="854" t="s">
        <v>596</v>
      </c>
      <c r="E107" s="854" t="s">
        <v>600</v>
      </c>
      <c r="F107" s="856">
        <v>74.3</v>
      </c>
    </row>
    <row r="108" spans="1:7" ht="14.6" x14ac:dyDescent="0.4">
      <c r="A108" s="854" t="s">
        <v>576</v>
      </c>
      <c r="B108" s="855">
        <v>43741</v>
      </c>
      <c r="C108" s="854" t="s">
        <v>2467</v>
      </c>
      <c r="D108" s="854" t="s">
        <v>596</v>
      </c>
      <c r="E108" s="854" t="s">
        <v>1683</v>
      </c>
      <c r="F108" s="856">
        <v>54.63</v>
      </c>
    </row>
    <row r="109" spans="1:7" ht="14.6" x14ac:dyDescent="0.4">
      <c r="A109" s="854" t="s">
        <v>689</v>
      </c>
      <c r="B109" s="855">
        <v>43741</v>
      </c>
      <c r="C109" s="854" t="s">
        <v>2468</v>
      </c>
      <c r="D109" s="854" t="s">
        <v>596</v>
      </c>
      <c r="E109" s="854" t="s">
        <v>2484</v>
      </c>
      <c r="F109" s="856">
        <v>-9.49</v>
      </c>
    </row>
    <row r="110" spans="1:7" ht="14.6" x14ac:dyDescent="0.4">
      <c r="A110" s="854" t="s">
        <v>576</v>
      </c>
      <c r="B110" s="855">
        <v>43743</v>
      </c>
      <c r="C110" s="854" t="s">
        <v>2469</v>
      </c>
      <c r="D110" s="854" t="s">
        <v>595</v>
      </c>
      <c r="E110" s="854" t="s">
        <v>2485</v>
      </c>
      <c r="F110" s="856">
        <v>45.17</v>
      </c>
    </row>
    <row r="111" spans="1:7" ht="14.6" x14ac:dyDescent="0.4">
      <c r="A111" s="854" t="s">
        <v>575</v>
      </c>
      <c r="B111" s="855">
        <v>43748</v>
      </c>
      <c r="C111" s="854" t="s">
        <v>2470</v>
      </c>
      <c r="D111" s="854" t="s">
        <v>2474</v>
      </c>
      <c r="E111" s="854" t="s">
        <v>2486</v>
      </c>
      <c r="F111" s="856">
        <v>63.62</v>
      </c>
    </row>
    <row r="112" spans="1:7" ht="14.6" x14ac:dyDescent="0.4">
      <c r="A112" s="854" t="s">
        <v>575</v>
      </c>
      <c r="B112" s="855">
        <v>43753</v>
      </c>
      <c r="C112" s="854" t="s">
        <v>2471</v>
      </c>
      <c r="D112" s="854" t="s">
        <v>2475</v>
      </c>
      <c r="E112" s="854" t="s">
        <v>2487</v>
      </c>
      <c r="F112" s="856">
        <v>39.99</v>
      </c>
    </row>
    <row r="113" spans="1:6" ht="14.6" x14ac:dyDescent="0.4">
      <c r="A113" s="854" t="s">
        <v>576</v>
      </c>
      <c r="B113" s="855">
        <v>43754</v>
      </c>
      <c r="C113" s="854" t="s">
        <v>2472</v>
      </c>
      <c r="D113" s="854" t="s">
        <v>2476</v>
      </c>
      <c r="E113" s="854" t="s">
        <v>2488</v>
      </c>
      <c r="F113" s="856">
        <v>144</v>
      </c>
    </row>
    <row r="114" spans="1:6" ht="14.6" x14ac:dyDescent="0.4">
      <c r="A114" s="854" t="s">
        <v>576</v>
      </c>
      <c r="B114" s="855">
        <v>43755</v>
      </c>
      <c r="C114" s="854" t="s">
        <v>2780</v>
      </c>
      <c r="D114" s="854" t="s">
        <v>596</v>
      </c>
      <c r="E114" s="854" t="s">
        <v>1683</v>
      </c>
      <c r="F114" s="856">
        <v>396.02</v>
      </c>
    </row>
    <row r="115" spans="1:6" ht="14.6" x14ac:dyDescent="0.4">
      <c r="A115" s="854" t="s">
        <v>576</v>
      </c>
      <c r="B115" s="855">
        <v>43756</v>
      </c>
      <c r="C115" s="854" t="s">
        <v>2781</v>
      </c>
      <c r="D115" s="854" t="s">
        <v>596</v>
      </c>
      <c r="E115" s="854" t="s">
        <v>1683</v>
      </c>
      <c r="F115" s="856">
        <v>2.19</v>
      </c>
    </row>
    <row r="116" spans="1:6" ht="14.6" x14ac:dyDescent="0.4">
      <c r="A116" s="854" t="s">
        <v>576</v>
      </c>
      <c r="B116" s="855">
        <v>43759</v>
      </c>
      <c r="C116" s="854" t="s">
        <v>2782</v>
      </c>
      <c r="D116" s="854" t="s">
        <v>594</v>
      </c>
      <c r="E116" s="854" t="s">
        <v>600</v>
      </c>
      <c r="F116" s="856">
        <v>18.95</v>
      </c>
    </row>
    <row r="117" spans="1:6" ht="14.6" x14ac:dyDescent="0.4">
      <c r="A117" s="854" t="s">
        <v>576</v>
      </c>
      <c r="B117" s="855">
        <v>43759</v>
      </c>
      <c r="C117" s="854" t="s">
        <v>2783</v>
      </c>
      <c r="D117" s="854" t="s">
        <v>594</v>
      </c>
      <c r="E117" s="854" t="s">
        <v>600</v>
      </c>
      <c r="F117" s="856">
        <v>73.23</v>
      </c>
    </row>
    <row r="118" spans="1:6" ht="14.6" x14ac:dyDescent="0.4">
      <c r="A118" s="854" t="s">
        <v>576</v>
      </c>
      <c r="B118" s="855">
        <v>43760</v>
      </c>
      <c r="C118" s="854" t="s">
        <v>2784</v>
      </c>
      <c r="D118" s="854" t="s">
        <v>596</v>
      </c>
      <c r="E118" s="854" t="s">
        <v>1683</v>
      </c>
      <c r="F118" s="856">
        <v>54.35</v>
      </c>
    </row>
    <row r="119" spans="1:6" ht="14.6" x14ac:dyDescent="0.4">
      <c r="A119" s="854" t="s">
        <v>576</v>
      </c>
      <c r="B119" s="855">
        <v>43762</v>
      </c>
      <c r="C119" s="854" t="s">
        <v>2785</v>
      </c>
      <c r="D119" s="854" t="s">
        <v>595</v>
      </c>
      <c r="E119" s="854" t="s">
        <v>2794</v>
      </c>
      <c r="F119" s="856">
        <v>55.09</v>
      </c>
    </row>
    <row r="120" spans="1:6" ht="14.6" x14ac:dyDescent="0.4">
      <c r="A120" s="854" t="s">
        <v>576</v>
      </c>
      <c r="B120" s="855">
        <v>43762</v>
      </c>
      <c r="C120" s="854" t="s">
        <v>2786</v>
      </c>
      <c r="D120" s="854" t="s">
        <v>595</v>
      </c>
      <c r="E120" s="854" t="s">
        <v>2795</v>
      </c>
      <c r="F120" s="856">
        <v>44.79</v>
      </c>
    </row>
    <row r="121" spans="1:6" ht="14.6" x14ac:dyDescent="0.4">
      <c r="A121" s="854" t="s">
        <v>576</v>
      </c>
      <c r="B121" s="855">
        <v>43766</v>
      </c>
      <c r="C121" s="854" t="s">
        <v>2787</v>
      </c>
      <c r="D121" s="854" t="s">
        <v>2086</v>
      </c>
      <c r="E121" s="854" t="s">
        <v>2796</v>
      </c>
      <c r="F121" s="856">
        <v>100</v>
      </c>
    </row>
    <row r="122" spans="1:6" ht="14.6" x14ac:dyDescent="0.4">
      <c r="A122" s="854" t="s">
        <v>576</v>
      </c>
      <c r="B122" s="855">
        <v>43766</v>
      </c>
      <c r="C122" s="854" t="s">
        <v>2788</v>
      </c>
      <c r="D122" s="854" t="s">
        <v>595</v>
      </c>
      <c r="E122" s="854" t="s">
        <v>2797</v>
      </c>
      <c r="F122" s="856">
        <v>190.41</v>
      </c>
    </row>
    <row r="123" spans="1:6" ht="14.6" x14ac:dyDescent="0.4">
      <c r="A123" s="854" t="s">
        <v>576</v>
      </c>
      <c r="B123" s="855">
        <v>43768</v>
      </c>
      <c r="C123" s="854" t="s">
        <v>2222</v>
      </c>
      <c r="D123" s="854" t="s">
        <v>2477</v>
      </c>
      <c r="E123" s="854" t="s">
        <v>2489</v>
      </c>
      <c r="F123" s="856">
        <v>130</v>
      </c>
    </row>
    <row r="124" spans="1:6" ht="14.6" x14ac:dyDescent="0.4">
      <c r="A124" s="854" t="s">
        <v>576</v>
      </c>
      <c r="B124" s="855">
        <v>43770</v>
      </c>
      <c r="C124" s="854" t="s">
        <v>2789</v>
      </c>
      <c r="D124" s="854" t="s">
        <v>2476</v>
      </c>
      <c r="E124" s="854" t="s">
        <v>2798</v>
      </c>
      <c r="F124" s="856">
        <v>288</v>
      </c>
    </row>
    <row r="125" spans="1:6" ht="14.6" x14ac:dyDescent="0.4">
      <c r="A125" s="854" t="s">
        <v>576</v>
      </c>
      <c r="B125" s="855">
        <v>43770</v>
      </c>
      <c r="C125" s="854" t="s">
        <v>2789</v>
      </c>
      <c r="D125" s="854" t="s">
        <v>2476</v>
      </c>
      <c r="E125" s="854" t="s">
        <v>2799</v>
      </c>
      <c r="F125" s="856">
        <v>28</v>
      </c>
    </row>
    <row r="126" spans="1:6" ht="14.6" x14ac:dyDescent="0.4">
      <c r="A126" s="854" t="s">
        <v>576</v>
      </c>
      <c r="B126" s="855">
        <v>43770</v>
      </c>
      <c r="C126" s="854" t="s">
        <v>2789</v>
      </c>
      <c r="D126" s="854" t="s">
        <v>2476</v>
      </c>
      <c r="E126" s="854" t="s">
        <v>2800</v>
      </c>
      <c r="F126" s="856">
        <v>20</v>
      </c>
    </row>
    <row r="127" spans="1:6" ht="14.6" x14ac:dyDescent="0.4">
      <c r="A127" s="854" t="s">
        <v>576</v>
      </c>
      <c r="B127" s="855">
        <v>43774</v>
      </c>
      <c r="C127" s="854" t="s">
        <v>2790</v>
      </c>
      <c r="D127" s="854" t="s">
        <v>595</v>
      </c>
      <c r="E127" s="854" t="s">
        <v>2801</v>
      </c>
      <c r="F127" s="856">
        <v>110.18</v>
      </c>
    </row>
    <row r="128" spans="1:6" ht="14.6" x14ac:dyDescent="0.4">
      <c r="A128" s="854" t="s">
        <v>576</v>
      </c>
      <c r="B128" s="855">
        <v>43774</v>
      </c>
      <c r="C128" s="854" t="s">
        <v>2790</v>
      </c>
      <c r="D128" s="854" t="s">
        <v>595</v>
      </c>
      <c r="E128" s="854" t="s">
        <v>2802</v>
      </c>
      <c r="F128" s="856">
        <v>55.09</v>
      </c>
    </row>
    <row r="129" spans="1:6" ht="14.6" x14ac:dyDescent="0.4">
      <c r="A129" s="854" t="s">
        <v>576</v>
      </c>
      <c r="B129" s="855">
        <v>43774</v>
      </c>
      <c r="C129" s="854" t="s">
        <v>2790</v>
      </c>
      <c r="D129" s="854" t="s">
        <v>595</v>
      </c>
      <c r="E129" s="854" t="s">
        <v>2803</v>
      </c>
      <c r="F129" s="856">
        <v>45.17</v>
      </c>
    </row>
    <row r="130" spans="1:6" ht="14.6" x14ac:dyDescent="0.4">
      <c r="A130" s="854" t="s">
        <v>576</v>
      </c>
      <c r="B130" s="855">
        <v>43774</v>
      </c>
      <c r="C130" s="854" t="s">
        <v>2790</v>
      </c>
      <c r="D130" s="854" t="s">
        <v>595</v>
      </c>
      <c r="E130" s="854" t="s">
        <v>2804</v>
      </c>
      <c r="F130" s="856">
        <v>45.17</v>
      </c>
    </row>
    <row r="131" spans="1:6" ht="14.6" x14ac:dyDescent="0.4">
      <c r="A131" s="854" t="s">
        <v>575</v>
      </c>
      <c r="B131" s="855">
        <v>43774</v>
      </c>
      <c r="C131" s="854" t="s">
        <v>2791</v>
      </c>
      <c r="D131" s="854" t="s">
        <v>2473</v>
      </c>
      <c r="E131" s="854" t="s">
        <v>2805</v>
      </c>
      <c r="F131" s="856">
        <v>251.4</v>
      </c>
    </row>
    <row r="132" spans="1:6" ht="14.6" x14ac:dyDescent="0.4">
      <c r="A132" s="854" t="s">
        <v>576</v>
      </c>
      <c r="B132" s="855">
        <v>43776</v>
      </c>
      <c r="C132" s="854" t="s">
        <v>2792</v>
      </c>
      <c r="D132" s="854" t="s">
        <v>596</v>
      </c>
      <c r="E132" s="854" t="s">
        <v>1683</v>
      </c>
      <c r="F132" s="856">
        <v>181.25</v>
      </c>
    </row>
    <row r="133" spans="1:6" ht="14.6" x14ac:dyDescent="0.4">
      <c r="A133" s="854" t="s">
        <v>576</v>
      </c>
      <c r="B133" s="855">
        <v>43782</v>
      </c>
      <c r="C133" s="854" t="s">
        <v>3016</v>
      </c>
      <c r="D133" s="854" t="s">
        <v>594</v>
      </c>
      <c r="E133" s="854" t="s">
        <v>3032</v>
      </c>
      <c r="F133" s="856">
        <v>0</v>
      </c>
    </row>
    <row r="134" spans="1:6" ht="14.6" x14ac:dyDescent="0.4">
      <c r="A134" s="854" t="s">
        <v>576</v>
      </c>
      <c r="B134" s="855">
        <v>43783</v>
      </c>
      <c r="C134" s="854" t="s">
        <v>2793</v>
      </c>
      <c r="D134" s="854" t="s">
        <v>595</v>
      </c>
      <c r="E134" s="854" t="s">
        <v>2806</v>
      </c>
      <c r="F134" s="856">
        <v>45.17</v>
      </c>
    </row>
    <row r="135" spans="1:6" ht="14.6" x14ac:dyDescent="0.4">
      <c r="A135" s="854" t="s">
        <v>576</v>
      </c>
      <c r="B135" s="855">
        <v>43784</v>
      </c>
      <c r="C135" s="854" t="s">
        <v>3017</v>
      </c>
      <c r="D135" s="854" t="s">
        <v>594</v>
      </c>
      <c r="E135" s="854" t="s">
        <v>602</v>
      </c>
      <c r="F135" s="856">
        <v>51.62</v>
      </c>
    </row>
    <row r="136" spans="1:6" ht="14.6" x14ac:dyDescent="0.4">
      <c r="A136" s="854" t="s">
        <v>576</v>
      </c>
      <c r="B136" s="855">
        <v>43791</v>
      </c>
      <c r="C136" s="854" t="s">
        <v>3018</v>
      </c>
      <c r="D136" s="854" t="s">
        <v>596</v>
      </c>
      <c r="E136" s="854" t="s">
        <v>2825</v>
      </c>
      <c r="F136" s="856">
        <v>0</v>
      </c>
    </row>
    <row r="137" spans="1:6" ht="14.6" x14ac:dyDescent="0.4">
      <c r="A137" s="854" t="s">
        <v>576</v>
      </c>
      <c r="B137" s="855">
        <v>43796</v>
      </c>
      <c r="C137" s="854" t="s">
        <v>3019</v>
      </c>
      <c r="D137" s="854" t="s">
        <v>595</v>
      </c>
      <c r="E137" s="854" t="s">
        <v>3033</v>
      </c>
      <c r="F137" s="856">
        <v>51</v>
      </c>
    </row>
    <row r="138" spans="1:6" ht="15" customHeight="1" x14ac:dyDescent="0.4">
      <c r="A138" s="854" t="s">
        <v>576</v>
      </c>
      <c r="B138" s="855">
        <v>43796</v>
      </c>
      <c r="C138" s="854" t="s">
        <v>3020</v>
      </c>
      <c r="D138" s="854" t="s">
        <v>595</v>
      </c>
      <c r="E138" s="854" t="s">
        <v>3034</v>
      </c>
      <c r="F138" s="856">
        <v>14</v>
      </c>
    </row>
    <row r="139" spans="1:6" ht="15" customHeight="1" x14ac:dyDescent="0.4">
      <c r="A139" s="854" t="s">
        <v>576</v>
      </c>
      <c r="B139" s="855">
        <v>43800</v>
      </c>
      <c r="C139" s="854" t="s">
        <v>3021</v>
      </c>
      <c r="D139" s="854" t="s">
        <v>2086</v>
      </c>
      <c r="E139" s="854" t="s">
        <v>2101</v>
      </c>
      <c r="F139" s="856">
        <v>58.77</v>
      </c>
    </row>
    <row r="140" spans="1:6" ht="15" customHeight="1" x14ac:dyDescent="0.4">
      <c r="A140" s="854" t="s">
        <v>576</v>
      </c>
      <c r="B140" s="855">
        <v>43802</v>
      </c>
      <c r="C140" s="854" t="s">
        <v>3022</v>
      </c>
      <c r="D140" s="854" t="s">
        <v>594</v>
      </c>
      <c r="E140" s="854" t="s">
        <v>600</v>
      </c>
      <c r="F140" s="856">
        <v>29.44</v>
      </c>
    </row>
    <row r="141" spans="1:6" ht="15" customHeight="1" x14ac:dyDescent="0.4">
      <c r="A141" s="854" t="s">
        <v>576</v>
      </c>
      <c r="B141" s="855">
        <v>43802</v>
      </c>
      <c r="C141" s="854" t="s">
        <v>3023</v>
      </c>
      <c r="D141" s="854" t="s">
        <v>594</v>
      </c>
      <c r="E141" s="854" t="s">
        <v>600</v>
      </c>
      <c r="F141" s="856">
        <v>8.75</v>
      </c>
    </row>
    <row r="142" spans="1:6" ht="15" customHeight="1" x14ac:dyDescent="0.4">
      <c r="A142" s="854" t="s">
        <v>576</v>
      </c>
      <c r="B142" s="855">
        <v>43803</v>
      </c>
      <c r="C142" s="854" t="s">
        <v>3024</v>
      </c>
      <c r="D142" s="854" t="s">
        <v>594</v>
      </c>
      <c r="E142" s="854" t="s">
        <v>600</v>
      </c>
      <c r="F142" s="856">
        <v>16.5</v>
      </c>
    </row>
    <row r="143" spans="1:6" ht="15" customHeight="1" x14ac:dyDescent="0.4">
      <c r="A143" s="854" t="s">
        <v>575</v>
      </c>
      <c r="B143" s="855">
        <v>43804</v>
      </c>
      <c r="C143" s="854" t="s">
        <v>3025</v>
      </c>
      <c r="D143" s="854" t="s">
        <v>592</v>
      </c>
      <c r="E143" s="854" t="s">
        <v>602</v>
      </c>
      <c r="F143" s="856">
        <v>16.63</v>
      </c>
    </row>
    <row r="144" spans="1:6" ht="15" customHeight="1" x14ac:dyDescent="0.4">
      <c r="A144" s="854" t="s">
        <v>576</v>
      </c>
      <c r="B144" s="855">
        <v>43804</v>
      </c>
      <c r="C144" s="854" t="s">
        <v>3026</v>
      </c>
      <c r="D144" s="854" t="s">
        <v>596</v>
      </c>
      <c r="E144" s="854" t="s">
        <v>1683</v>
      </c>
      <c r="F144" s="856">
        <v>53.26</v>
      </c>
    </row>
    <row r="145" spans="1:6" ht="15" customHeight="1" x14ac:dyDescent="0.4">
      <c r="A145" s="854" t="s">
        <v>576</v>
      </c>
      <c r="B145" s="855">
        <v>43804</v>
      </c>
      <c r="C145" s="854" t="s">
        <v>3027</v>
      </c>
      <c r="D145" s="854" t="s">
        <v>596</v>
      </c>
      <c r="E145" s="854" t="s">
        <v>1683</v>
      </c>
      <c r="F145" s="856">
        <v>29.97</v>
      </c>
    </row>
    <row r="146" spans="1:6" ht="15" customHeight="1" x14ac:dyDescent="0.4">
      <c r="A146" s="854" t="s">
        <v>576</v>
      </c>
      <c r="B146" s="855">
        <v>43804</v>
      </c>
      <c r="C146" s="854" t="s">
        <v>3028</v>
      </c>
      <c r="D146" s="854" t="s">
        <v>596</v>
      </c>
      <c r="E146" s="854" t="s">
        <v>1683</v>
      </c>
      <c r="F146" s="856">
        <v>21.27</v>
      </c>
    </row>
    <row r="147" spans="1:6" ht="15" customHeight="1" x14ac:dyDescent="0.4">
      <c r="A147" s="854" t="s">
        <v>576</v>
      </c>
      <c r="B147" s="855">
        <v>43809</v>
      </c>
      <c r="C147" s="854" t="s">
        <v>3029</v>
      </c>
      <c r="D147" s="854" t="s">
        <v>594</v>
      </c>
      <c r="E147" s="854"/>
      <c r="F147" s="856">
        <v>0</v>
      </c>
    </row>
    <row r="148" spans="1:6" ht="15" customHeight="1" x14ac:dyDescent="0.4">
      <c r="A148" s="854" t="s">
        <v>576</v>
      </c>
      <c r="B148" s="855">
        <v>43810</v>
      </c>
      <c r="C148" s="854" t="s">
        <v>3030</v>
      </c>
      <c r="D148" s="854" t="s">
        <v>594</v>
      </c>
      <c r="E148" s="854"/>
      <c r="F148" s="856">
        <v>0</v>
      </c>
    </row>
    <row r="149" spans="1:6" ht="15" customHeight="1" x14ac:dyDescent="0.4">
      <c r="A149" s="854" t="s">
        <v>576</v>
      </c>
      <c r="B149" s="855">
        <v>43810</v>
      </c>
      <c r="C149" s="854" t="s">
        <v>3030</v>
      </c>
      <c r="D149" s="854" t="s">
        <v>594</v>
      </c>
      <c r="E149" s="854" t="s">
        <v>3035</v>
      </c>
      <c r="F149" s="856">
        <v>84.99</v>
      </c>
    </row>
    <row r="150" spans="1:6" ht="15" customHeight="1" thickBot="1" x14ac:dyDescent="0.45">
      <c r="A150" s="854" t="s">
        <v>576</v>
      </c>
      <c r="B150" s="855">
        <v>43818</v>
      </c>
      <c r="C150" s="854" t="s">
        <v>3031</v>
      </c>
      <c r="D150" s="854" t="s">
        <v>595</v>
      </c>
      <c r="E150" s="854" t="s">
        <v>3036</v>
      </c>
      <c r="F150" s="857">
        <v>45.17</v>
      </c>
    </row>
    <row r="151" spans="1:6" ht="15" customHeight="1" thickBot="1" x14ac:dyDescent="0.45">
      <c r="A151" s="854"/>
      <c r="B151" s="855"/>
      <c r="C151" s="854"/>
      <c r="D151" s="854"/>
      <c r="E151" s="854"/>
      <c r="F151" s="858">
        <f>ROUND(SUM(F3:F150),5)</f>
        <v>10685.8</v>
      </c>
    </row>
    <row r="152" spans="1:6" ht="15" customHeight="1" thickBot="1" x14ac:dyDescent="0.45">
      <c r="A152" s="854"/>
      <c r="B152" s="855"/>
      <c r="C152" s="854"/>
      <c r="D152" s="854"/>
      <c r="E152" s="854"/>
      <c r="F152" s="858">
        <f>F151</f>
        <v>10685.8</v>
      </c>
    </row>
    <row r="153" spans="1:6" ht="15" customHeight="1" thickBot="1" x14ac:dyDescent="0.45">
      <c r="A153" s="854"/>
      <c r="B153" s="855"/>
      <c r="C153" s="854"/>
      <c r="D153" s="854"/>
      <c r="E153" s="854"/>
      <c r="F153" s="859">
        <f>F152</f>
        <v>10685.8</v>
      </c>
    </row>
    <row r="154" spans="1:6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3:45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333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3332" r:id="rId4" name="HEADER"/>
      </mc:Fallback>
    </mc:AlternateContent>
    <mc:AlternateContent xmlns:mc="http://schemas.openxmlformats.org/markup-compatibility/2006">
      <mc:Choice Requires="x14">
        <control shapeId="1333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3331" r:id="rId6" name="FILTER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F58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G28" sqref="G28"/>
    </sheetView>
  </sheetViews>
  <sheetFormatPr defaultColWidth="14.3828125" defaultRowHeight="15" customHeight="1" x14ac:dyDescent="0.4"/>
  <cols>
    <col min="1" max="1" width="7.84375" style="861" bestFit="1" customWidth="1"/>
    <col min="2" max="2" width="10.69140625" style="861" bestFit="1" customWidth="1"/>
    <col min="3" max="3" width="13.3828125" style="861" bestFit="1" customWidth="1"/>
    <col min="4" max="5" width="30.69140625" style="861" customWidth="1"/>
    <col min="6" max="6" width="9.15234375" style="861" bestFit="1" customWidth="1"/>
  </cols>
  <sheetData>
    <row r="1" spans="1:6" s="890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43479</v>
      </c>
      <c r="C4" s="854" t="s">
        <v>608</v>
      </c>
      <c r="D4" s="854" t="s">
        <v>617</v>
      </c>
      <c r="E4" s="854" t="s">
        <v>620</v>
      </c>
      <c r="F4" s="856">
        <v>500</v>
      </c>
    </row>
    <row r="5" spans="1:6" ht="14.6" x14ac:dyDescent="0.4">
      <c r="A5" s="854" t="s">
        <v>576</v>
      </c>
      <c r="B5" s="855">
        <v>43479</v>
      </c>
      <c r="C5" s="854" t="s">
        <v>609</v>
      </c>
      <c r="D5" s="854" t="s">
        <v>617</v>
      </c>
      <c r="E5" s="854" t="s">
        <v>621</v>
      </c>
      <c r="F5" s="856">
        <v>400</v>
      </c>
    </row>
    <row r="6" spans="1:6" ht="14.6" x14ac:dyDescent="0.4">
      <c r="A6" s="854" t="s">
        <v>576</v>
      </c>
      <c r="B6" s="855">
        <v>43487</v>
      </c>
      <c r="C6" s="854" t="s">
        <v>610</v>
      </c>
      <c r="D6" s="854" t="s">
        <v>618</v>
      </c>
      <c r="E6" s="854" t="s">
        <v>622</v>
      </c>
      <c r="F6" s="856">
        <v>8000</v>
      </c>
    </row>
    <row r="7" spans="1:6" ht="14.6" x14ac:dyDescent="0.4">
      <c r="A7" s="854" t="s">
        <v>576</v>
      </c>
      <c r="B7" s="855">
        <v>43496</v>
      </c>
      <c r="C7" s="854" t="s">
        <v>611</v>
      </c>
      <c r="D7" s="854" t="s">
        <v>619</v>
      </c>
      <c r="E7" s="854" t="s">
        <v>623</v>
      </c>
      <c r="F7" s="856">
        <v>771.34</v>
      </c>
    </row>
    <row r="8" spans="1:6" ht="14.6" x14ac:dyDescent="0.4">
      <c r="A8" s="854" t="s">
        <v>576</v>
      </c>
      <c r="B8" s="855">
        <v>43500</v>
      </c>
      <c r="C8" s="854" t="s">
        <v>612</v>
      </c>
      <c r="D8" s="854" t="s">
        <v>618</v>
      </c>
      <c r="E8" s="854" t="s">
        <v>624</v>
      </c>
      <c r="F8" s="856">
        <v>259.79000000000002</v>
      </c>
    </row>
    <row r="9" spans="1:6" ht="14.6" x14ac:dyDescent="0.4">
      <c r="A9" s="854" t="s">
        <v>576</v>
      </c>
      <c r="B9" s="855">
        <v>43500</v>
      </c>
      <c r="C9" s="854" t="s">
        <v>613</v>
      </c>
      <c r="D9" s="854" t="s">
        <v>618</v>
      </c>
      <c r="E9" s="854" t="s">
        <v>625</v>
      </c>
      <c r="F9" s="856">
        <v>2859.11</v>
      </c>
    </row>
    <row r="10" spans="1:6" ht="14.6" x14ac:dyDescent="0.4">
      <c r="A10" s="854" t="s">
        <v>576</v>
      </c>
      <c r="B10" s="855">
        <v>43500</v>
      </c>
      <c r="C10" s="854" t="s">
        <v>614</v>
      </c>
      <c r="D10" s="854" t="s">
        <v>618</v>
      </c>
      <c r="E10" s="854" t="s">
        <v>626</v>
      </c>
      <c r="F10" s="856">
        <v>2598.44</v>
      </c>
    </row>
    <row r="11" spans="1:6" ht="14.6" x14ac:dyDescent="0.4">
      <c r="A11" s="854" t="s">
        <v>576</v>
      </c>
      <c r="B11" s="855">
        <v>43521</v>
      </c>
      <c r="C11" s="854" t="s">
        <v>615</v>
      </c>
      <c r="D11" s="854" t="s">
        <v>619</v>
      </c>
      <c r="E11" s="854" t="s">
        <v>623</v>
      </c>
      <c r="F11" s="856">
        <v>452.83</v>
      </c>
    </row>
    <row r="12" spans="1:6" ht="14.6" x14ac:dyDescent="0.4">
      <c r="A12" s="854" t="s">
        <v>576</v>
      </c>
      <c r="B12" s="855">
        <v>43525</v>
      </c>
      <c r="C12" s="854" t="s">
        <v>616</v>
      </c>
      <c r="D12" s="854" t="s">
        <v>619</v>
      </c>
      <c r="E12" s="854" t="s">
        <v>627</v>
      </c>
      <c r="F12" s="856">
        <v>68000</v>
      </c>
    </row>
    <row r="13" spans="1:6" ht="14.6" x14ac:dyDescent="0.4">
      <c r="A13" s="854" t="s">
        <v>576</v>
      </c>
      <c r="B13" s="855">
        <v>43527</v>
      </c>
      <c r="C13" s="854" t="s">
        <v>723</v>
      </c>
      <c r="D13" s="854" t="s">
        <v>1194</v>
      </c>
      <c r="E13" s="854" t="s">
        <v>1195</v>
      </c>
      <c r="F13" s="856">
        <v>1500</v>
      </c>
    </row>
    <row r="14" spans="1:6" ht="14.6" x14ac:dyDescent="0.4">
      <c r="A14" s="854" t="s">
        <v>576</v>
      </c>
      <c r="B14" s="855">
        <v>43549</v>
      </c>
      <c r="C14" s="854" t="s">
        <v>1192</v>
      </c>
      <c r="D14" s="854" t="s">
        <v>618</v>
      </c>
      <c r="E14" s="854" t="s">
        <v>1196</v>
      </c>
      <c r="F14" s="856">
        <v>39</v>
      </c>
    </row>
    <row r="15" spans="1:6" ht="14.6" x14ac:dyDescent="0.4">
      <c r="A15" s="854" t="s">
        <v>576</v>
      </c>
      <c r="B15" s="855">
        <v>43549</v>
      </c>
      <c r="C15" s="854" t="s">
        <v>1192</v>
      </c>
      <c r="D15" s="854" t="s">
        <v>618</v>
      </c>
      <c r="E15" s="854" t="s">
        <v>1197</v>
      </c>
      <c r="F15" s="856">
        <v>95</v>
      </c>
    </row>
    <row r="16" spans="1:6" ht="14.6" x14ac:dyDescent="0.4">
      <c r="A16" s="854" t="s">
        <v>576</v>
      </c>
      <c r="B16" s="855">
        <v>43556</v>
      </c>
      <c r="C16" s="854" t="s">
        <v>1193</v>
      </c>
      <c r="D16" s="854" t="s">
        <v>618</v>
      </c>
      <c r="E16" s="854" t="s">
        <v>1198</v>
      </c>
      <c r="F16" s="856">
        <v>22.12</v>
      </c>
    </row>
    <row r="17" spans="1:6" ht="14.6" x14ac:dyDescent="0.4">
      <c r="A17" s="854" t="s">
        <v>576</v>
      </c>
      <c r="B17" s="855">
        <v>43580</v>
      </c>
      <c r="C17" s="854" t="s">
        <v>1440</v>
      </c>
      <c r="D17" s="854" t="s">
        <v>1441</v>
      </c>
      <c r="E17" s="854" t="s">
        <v>1442</v>
      </c>
      <c r="F17" s="856">
        <v>323.06</v>
      </c>
    </row>
    <row r="18" spans="1:6" ht="14.6" x14ac:dyDescent="0.4">
      <c r="A18" s="854" t="s">
        <v>576</v>
      </c>
      <c r="B18" s="855">
        <v>43598</v>
      </c>
      <c r="C18" s="854" t="s">
        <v>1684</v>
      </c>
      <c r="D18" s="854" t="s">
        <v>618</v>
      </c>
      <c r="E18" s="854" t="s">
        <v>1690</v>
      </c>
      <c r="F18" s="856">
        <v>134.68</v>
      </c>
    </row>
    <row r="19" spans="1:6" ht="14.6" x14ac:dyDescent="0.4">
      <c r="A19" s="854" t="s">
        <v>576</v>
      </c>
      <c r="B19" s="855">
        <v>43598</v>
      </c>
      <c r="C19" s="854" t="s">
        <v>1684</v>
      </c>
      <c r="D19" s="854" t="s">
        <v>618</v>
      </c>
      <c r="E19" s="854" t="s">
        <v>1691</v>
      </c>
      <c r="F19" s="856">
        <v>-134.68</v>
      </c>
    </row>
    <row r="20" spans="1:6" ht="14.6" x14ac:dyDescent="0.4">
      <c r="A20" s="854" t="s">
        <v>576</v>
      </c>
      <c r="B20" s="855">
        <v>43599</v>
      </c>
      <c r="C20" s="854" t="s">
        <v>1685</v>
      </c>
      <c r="D20" s="854" t="s">
        <v>618</v>
      </c>
      <c r="E20" s="854" t="s">
        <v>1197</v>
      </c>
      <c r="F20" s="856">
        <v>69.62</v>
      </c>
    </row>
    <row r="21" spans="1:6" ht="14.6" x14ac:dyDescent="0.4">
      <c r="A21" s="854" t="s">
        <v>576</v>
      </c>
      <c r="B21" s="855">
        <v>43602</v>
      </c>
      <c r="C21" s="854" t="s">
        <v>1686</v>
      </c>
      <c r="D21" s="854" t="s">
        <v>618</v>
      </c>
      <c r="E21" s="854" t="s">
        <v>1692</v>
      </c>
      <c r="F21" s="856">
        <v>2909.87</v>
      </c>
    </row>
    <row r="22" spans="1:6" ht="14.6" x14ac:dyDescent="0.4">
      <c r="A22" s="854" t="s">
        <v>576</v>
      </c>
      <c r="B22" s="855">
        <v>43602</v>
      </c>
      <c r="C22" s="854" t="s">
        <v>1686</v>
      </c>
      <c r="D22" s="854" t="s">
        <v>618</v>
      </c>
      <c r="E22" s="854" t="s">
        <v>1693</v>
      </c>
      <c r="F22" s="856">
        <v>-2909.87</v>
      </c>
    </row>
    <row r="23" spans="1:6" ht="14.6" x14ac:dyDescent="0.4">
      <c r="A23" s="854" t="s">
        <v>576</v>
      </c>
      <c r="B23" s="855">
        <v>43607</v>
      </c>
      <c r="C23" s="854" t="s">
        <v>1687</v>
      </c>
      <c r="D23" s="854" t="s">
        <v>618</v>
      </c>
      <c r="E23" s="854" t="s">
        <v>1694</v>
      </c>
      <c r="F23" s="856">
        <v>8.5399999999999991</v>
      </c>
    </row>
    <row r="24" spans="1:6" ht="14.6" x14ac:dyDescent="0.4">
      <c r="A24" s="854" t="s">
        <v>576</v>
      </c>
      <c r="B24" s="855">
        <v>43607</v>
      </c>
      <c r="C24" s="854" t="s">
        <v>1687</v>
      </c>
      <c r="D24" s="854" t="s">
        <v>618</v>
      </c>
      <c r="E24" s="854" t="s">
        <v>1695</v>
      </c>
      <c r="F24" s="856">
        <v>-8.5399999999999991</v>
      </c>
    </row>
    <row r="25" spans="1:6" ht="14.6" x14ac:dyDescent="0.4">
      <c r="A25" s="854" t="s">
        <v>576</v>
      </c>
      <c r="B25" s="855">
        <v>43623</v>
      </c>
      <c r="C25" s="854" t="s">
        <v>1688</v>
      </c>
      <c r="D25" s="854" t="s">
        <v>618</v>
      </c>
      <c r="E25" s="854" t="s">
        <v>1696</v>
      </c>
      <c r="F25" s="856">
        <v>17.28</v>
      </c>
    </row>
    <row r="26" spans="1:6" ht="14.6" x14ac:dyDescent="0.4">
      <c r="A26" s="854" t="s">
        <v>576</v>
      </c>
      <c r="B26" s="855">
        <v>43623</v>
      </c>
      <c r="C26" s="854" t="s">
        <v>1688</v>
      </c>
      <c r="D26" s="854" t="s">
        <v>618</v>
      </c>
      <c r="E26" s="854" t="s">
        <v>1697</v>
      </c>
      <c r="F26" s="856">
        <v>-17.28</v>
      </c>
    </row>
    <row r="27" spans="1:6" ht="14.6" x14ac:dyDescent="0.4">
      <c r="A27" s="854" t="s">
        <v>576</v>
      </c>
      <c r="B27" s="855">
        <v>43626</v>
      </c>
      <c r="C27" s="854" t="s">
        <v>1689</v>
      </c>
      <c r="D27" s="854" t="s">
        <v>618</v>
      </c>
      <c r="E27" s="854" t="s">
        <v>1698</v>
      </c>
      <c r="F27" s="856">
        <v>618.74</v>
      </c>
    </row>
    <row r="28" spans="1:6" ht="14.6" x14ac:dyDescent="0.4">
      <c r="A28" s="854" t="s">
        <v>576</v>
      </c>
      <c r="B28" s="855">
        <v>43626</v>
      </c>
      <c r="C28" s="854" t="s">
        <v>1689</v>
      </c>
      <c r="D28" s="854" t="s">
        <v>618</v>
      </c>
      <c r="E28" s="854" t="s">
        <v>1693</v>
      </c>
      <c r="F28" s="856">
        <v>-618.74</v>
      </c>
    </row>
    <row r="29" spans="1:6" ht="14.6" x14ac:dyDescent="0.4">
      <c r="A29" s="854" t="s">
        <v>576</v>
      </c>
      <c r="B29" s="855">
        <v>43643</v>
      </c>
      <c r="C29" s="854" t="s">
        <v>1898</v>
      </c>
      <c r="D29" s="854" t="s">
        <v>618</v>
      </c>
      <c r="E29" s="854" t="s">
        <v>1197</v>
      </c>
      <c r="F29" s="856">
        <v>73.25</v>
      </c>
    </row>
    <row r="30" spans="1:6" ht="14.6" x14ac:dyDescent="0.4">
      <c r="A30" s="854" t="s">
        <v>576</v>
      </c>
      <c r="B30" s="855">
        <v>43646</v>
      </c>
      <c r="C30" s="854" t="s">
        <v>1899</v>
      </c>
      <c r="D30" s="854" t="s">
        <v>1441</v>
      </c>
      <c r="E30" s="854" t="s">
        <v>623</v>
      </c>
      <c r="F30" s="856">
        <v>407.37</v>
      </c>
    </row>
    <row r="31" spans="1:6" ht="14.6" x14ac:dyDescent="0.4">
      <c r="A31" s="854" t="s">
        <v>576</v>
      </c>
      <c r="B31" s="855">
        <v>43646</v>
      </c>
      <c r="C31" s="854" t="s">
        <v>1900</v>
      </c>
      <c r="D31" s="854" t="s">
        <v>1441</v>
      </c>
      <c r="E31" s="854" t="s">
        <v>1901</v>
      </c>
      <c r="F31" s="856">
        <v>103.75</v>
      </c>
    </row>
    <row r="32" spans="1:6" ht="14.6" x14ac:dyDescent="0.4">
      <c r="A32" s="854" t="s">
        <v>576</v>
      </c>
      <c r="B32" s="855">
        <v>43658</v>
      </c>
      <c r="C32" s="854" t="s">
        <v>2104</v>
      </c>
      <c r="D32" s="854" t="s">
        <v>618</v>
      </c>
      <c r="E32" s="854" t="s">
        <v>2114</v>
      </c>
      <c r="F32" s="856">
        <v>1041.9000000000001</v>
      </c>
    </row>
    <row r="33" spans="1:6" ht="14.6" x14ac:dyDescent="0.4">
      <c r="A33" s="854" t="s">
        <v>576</v>
      </c>
      <c r="B33" s="855">
        <v>43658</v>
      </c>
      <c r="C33" s="854" t="s">
        <v>2105</v>
      </c>
      <c r="D33" s="854" t="s">
        <v>618</v>
      </c>
      <c r="E33" s="854" t="s">
        <v>2115</v>
      </c>
      <c r="F33" s="856">
        <v>1.84</v>
      </c>
    </row>
    <row r="34" spans="1:6" ht="14.6" x14ac:dyDescent="0.4">
      <c r="A34" s="854" t="s">
        <v>576</v>
      </c>
      <c r="B34" s="855">
        <v>43677</v>
      </c>
      <c r="C34" s="854" t="s">
        <v>2106</v>
      </c>
      <c r="D34" s="854" t="s">
        <v>1441</v>
      </c>
      <c r="E34" s="854" t="s">
        <v>2116</v>
      </c>
      <c r="F34" s="856">
        <v>176.95</v>
      </c>
    </row>
    <row r="35" spans="1:6" ht="14.6" x14ac:dyDescent="0.4">
      <c r="A35" s="854" t="s">
        <v>576</v>
      </c>
      <c r="B35" s="855">
        <v>43677</v>
      </c>
      <c r="C35" s="854" t="s">
        <v>2106</v>
      </c>
      <c r="D35" s="854" t="s">
        <v>1441</v>
      </c>
      <c r="E35" s="854" t="s">
        <v>2117</v>
      </c>
      <c r="F35" s="856">
        <v>23.75</v>
      </c>
    </row>
    <row r="36" spans="1:6" ht="14.6" x14ac:dyDescent="0.4">
      <c r="A36" s="854" t="s">
        <v>576</v>
      </c>
      <c r="B36" s="855">
        <v>43692</v>
      </c>
      <c r="C36" s="854" t="s">
        <v>2107</v>
      </c>
      <c r="D36" s="854" t="s">
        <v>2113</v>
      </c>
      <c r="E36" s="854" t="s">
        <v>2118</v>
      </c>
      <c r="F36" s="856">
        <v>23.98</v>
      </c>
    </row>
    <row r="37" spans="1:6" ht="14.6" x14ac:dyDescent="0.4">
      <c r="A37" s="854" t="s">
        <v>1534</v>
      </c>
      <c r="B37" s="855">
        <v>43700</v>
      </c>
      <c r="C37" s="854" t="s">
        <v>2108</v>
      </c>
      <c r="D37" s="854" t="s">
        <v>618</v>
      </c>
      <c r="E37" s="854" t="s">
        <v>2495</v>
      </c>
      <c r="F37" s="856">
        <v>-4310.8900000000003</v>
      </c>
    </row>
    <row r="38" spans="1:6" ht="14.6" x14ac:dyDescent="0.4">
      <c r="A38" s="854" t="s">
        <v>576</v>
      </c>
      <c r="B38" s="855">
        <v>43708</v>
      </c>
      <c r="C38" s="854" t="s">
        <v>2109</v>
      </c>
      <c r="D38" s="854" t="s">
        <v>1441</v>
      </c>
      <c r="E38" s="854" t="s">
        <v>2116</v>
      </c>
      <c r="F38" s="856">
        <v>161.53</v>
      </c>
    </row>
    <row r="39" spans="1:6" ht="14.6" x14ac:dyDescent="0.4">
      <c r="A39" s="854" t="s">
        <v>576</v>
      </c>
      <c r="B39" s="855">
        <v>43708</v>
      </c>
      <c r="C39" s="854" t="s">
        <v>2109</v>
      </c>
      <c r="D39" s="854" t="s">
        <v>1441</v>
      </c>
      <c r="E39" s="854" t="s">
        <v>2117</v>
      </c>
      <c r="F39" s="856">
        <v>16.5</v>
      </c>
    </row>
    <row r="40" spans="1:6" ht="14.6" x14ac:dyDescent="0.4">
      <c r="A40" s="854" t="s">
        <v>576</v>
      </c>
      <c r="B40" s="855">
        <v>43714</v>
      </c>
      <c r="C40" s="854" t="s">
        <v>2110</v>
      </c>
      <c r="D40" s="854" t="s">
        <v>618</v>
      </c>
      <c r="E40" s="854" t="s">
        <v>2119</v>
      </c>
      <c r="F40" s="856">
        <v>840.15</v>
      </c>
    </row>
    <row r="41" spans="1:6" ht="14.6" x14ac:dyDescent="0.4">
      <c r="A41" s="854" t="s">
        <v>576</v>
      </c>
      <c r="B41" s="855">
        <v>43714</v>
      </c>
      <c r="C41" s="854" t="s">
        <v>2111</v>
      </c>
      <c r="D41" s="854" t="s">
        <v>618</v>
      </c>
      <c r="E41" s="854" t="s">
        <v>2120</v>
      </c>
      <c r="F41" s="856">
        <v>5.2</v>
      </c>
    </row>
    <row r="42" spans="1:6" ht="14.6" x14ac:dyDescent="0.4">
      <c r="A42" s="854" t="s">
        <v>576</v>
      </c>
      <c r="B42" s="855">
        <v>43725</v>
      </c>
      <c r="C42" s="854" t="s">
        <v>2112</v>
      </c>
      <c r="D42" s="854" t="s">
        <v>617</v>
      </c>
      <c r="E42" s="854" t="s">
        <v>620</v>
      </c>
      <c r="F42" s="856">
        <v>500</v>
      </c>
    </row>
    <row r="43" spans="1:6" ht="14.6" x14ac:dyDescent="0.4">
      <c r="A43" s="854" t="s">
        <v>576</v>
      </c>
      <c r="B43" s="855">
        <v>43727</v>
      </c>
      <c r="C43" s="854" t="s">
        <v>2490</v>
      </c>
      <c r="D43" s="854" t="s">
        <v>2113</v>
      </c>
      <c r="E43" s="854" t="s">
        <v>2118</v>
      </c>
      <c r="F43" s="856">
        <v>23.13</v>
      </c>
    </row>
    <row r="44" spans="1:6" ht="14.6" x14ac:dyDescent="0.4">
      <c r="A44" s="854" t="s">
        <v>576</v>
      </c>
      <c r="B44" s="855">
        <v>43734</v>
      </c>
      <c r="C44" s="854" t="s">
        <v>2491</v>
      </c>
      <c r="D44" s="854" t="s">
        <v>618</v>
      </c>
      <c r="E44" s="854" t="s">
        <v>2496</v>
      </c>
      <c r="F44" s="856">
        <v>50.26</v>
      </c>
    </row>
    <row r="45" spans="1:6" ht="14.6" x14ac:dyDescent="0.4">
      <c r="A45" s="854" t="s">
        <v>576</v>
      </c>
      <c r="B45" s="855">
        <v>43738</v>
      </c>
      <c r="C45" s="854" t="s">
        <v>2492</v>
      </c>
      <c r="D45" s="854" t="s">
        <v>1441</v>
      </c>
      <c r="E45" s="854" t="s">
        <v>2116</v>
      </c>
      <c r="F45" s="856">
        <v>271.08</v>
      </c>
    </row>
    <row r="46" spans="1:6" ht="14.6" x14ac:dyDescent="0.4">
      <c r="A46" s="854" t="s">
        <v>576</v>
      </c>
      <c r="B46" s="855">
        <v>43747</v>
      </c>
      <c r="C46" s="854" t="s">
        <v>2493</v>
      </c>
      <c r="D46" s="854" t="s">
        <v>1194</v>
      </c>
      <c r="E46" s="854" t="s">
        <v>2497</v>
      </c>
      <c r="F46" s="856">
        <v>3000</v>
      </c>
    </row>
    <row r="47" spans="1:6" ht="14.6" x14ac:dyDescent="0.4">
      <c r="A47" s="854" t="s">
        <v>576</v>
      </c>
      <c r="B47" s="855">
        <v>43755</v>
      </c>
      <c r="C47" s="854" t="s">
        <v>2494</v>
      </c>
      <c r="D47" s="854" t="s">
        <v>2113</v>
      </c>
      <c r="E47" s="854" t="s">
        <v>2118</v>
      </c>
      <c r="F47" s="856">
        <v>11.55</v>
      </c>
    </row>
    <row r="48" spans="1:6" ht="14.6" x14ac:dyDescent="0.4">
      <c r="A48" s="854" t="s">
        <v>576</v>
      </c>
      <c r="B48" s="855">
        <v>43768</v>
      </c>
      <c r="C48" s="854" t="s">
        <v>2807</v>
      </c>
      <c r="D48" s="854" t="s">
        <v>1441</v>
      </c>
      <c r="E48" s="854" t="s">
        <v>2116</v>
      </c>
      <c r="F48" s="856">
        <v>192.04</v>
      </c>
    </row>
    <row r="49" spans="1:6" ht="14.6" x14ac:dyDescent="0.4">
      <c r="A49" s="854" t="s">
        <v>576</v>
      </c>
      <c r="B49" s="855">
        <v>43768</v>
      </c>
      <c r="C49" s="854" t="s">
        <v>2808</v>
      </c>
      <c r="D49" s="854" t="s">
        <v>2809</v>
      </c>
      <c r="E49" s="854" t="s">
        <v>2810</v>
      </c>
      <c r="F49" s="856">
        <v>0</v>
      </c>
    </row>
    <row r="50" spans="1:6" ht="14.6" x14ac:dyDescent="0.4">
      <c r="A50" s="854" t="s">
        <v>576</v>
      </c>
      <c r="B50" s="855">
        <v>43789</v>
      </c>
      <c r="C50" s="854" t="s">
        <v>3037</v>
      </c>
      <c r="D50" s="854" t="s">
        <v>3041</v>
      </c>
      <c r="E50" s="854" t="s">
        <v>3042</v>
      </c>
      <c r="F50" s="856">
        <v>710</v>
      </c>
    </row>
    <row r="51" spans="1:6" ht="14.6" x14ac:dyDescent="0.4">
      <c r="A51" s="854" t="s">
        <v>576</v>
      </c>
      <c r="B51" s="855">
        <v>43789</v>
      </c>
      <c r="C51" s="854" t="s">
        <v>3038</v>
      </c>
      <c r="D51" s="854" t="s">
        <v>3041</v>
      </c>
      <c r="E51" s="854" t="s">
        <v>3043</v>
      </c>
      <c r="F51" s="856">
        <v>235</v>
      </c>
    </row>
    <row r="52" spans="1:6" ht="14.6" x14ac:dyDescent="0.4">
      <c r="A52" s="854" t="s">
        <v>576</v>
      </c>
      <c r="B52" s="855">
        <v>43789</v>
      </c>
      <c r="C52" s="854" t="s">
        <v>2555</v>
      </c>
      <c r="D52" s="854" t="s">
        <v>1194</v>
      </c>
      <c r="E52" s="854" t="s">
        <v>2497</v>
      </c>
      <c r="F52" s="856">
        <v>3500</v>
      </c>
    </row>
    <row r="53" spans="1:6" ht="14.6" x14ac:dyDescent="0.4">
      <c r="A53" s="854" t="s">
        <v>576</v>
      </c>
      <c r="B53" s="855">
        <v>43799</v>
      </c>
      <c r="C53" s="854" t="s">
        <v>3039</v>
      </c>
      <c r="D53" s="854" t="s">
        <v>1441</v>
      </c>
      <c r="E53" s="854" t="s">
        <v>2116</v>
      </c>
      <c r="F53" s="856">
        <v>222.03</v>
      </c>
    </row>
    <row r="54" spans="1:6" ht="15" customHeight="1" thickBot="1" x14ac:dyDescent="0.45">
      <c r="A54" s="854" t="s">
        <v>576</v>
      </c>
      <c r="B54" s="855">
        <v>43822</v>
      </c>
      <c r="C54" s="854" t="s">
        <v>3040</v>
      </c>
      <c r="D54" s="854" t="s">
        <v>2113</v>
      </c>
      <c r="E54" s="854" t="s">
        <v>2118</v>
      </c>
      <c r="F54" s="857">
        <v>46.32</v>
      </c>
    </row>
    <row r="55" spans="1:6" ht="15" customHeight="1" thickBot="1" x14ac:dyDescent="0.45">
      <c r="A55" s="854"/>
      <c r="B55" s="855"/>
      <c r="C55" s="854"/>
      <c r="D55" s="854"/>
      <c r="E55" s="854"/>
      <c r="F55" s="858">
        <f>ROUND(SUM(F3:F54),5)</f>
        <v>93217</v>
      </c>
    </row>
    <row r="56" spans="1:6" ht="15" customHeight="1" thickBot="1" x14ac:dyDescent="0.45">
      <c r="A56" s="854"/>
      <c r="B56" s="855"/>
      <c r="C56" s="854"/>
      <c r="D56" s="854"/>
      <c r="E56" s="854"/>
      <c r="F56" s="858">
        <f>F55</f>
        <v>93217</v>
      </c>
    </row>
    <row r="57" spans="1:6" ht="15" customHeight="1" thickBot="1" x14ac:dyDescent="0.45">
      <c r="A57" s="854"/>
      <c r="B57" s="855"/>
      <c r="C57" s="854"/>
      <c r="D57" s="854"/>
      <c r="E57" s="854"/>
      <c r="F57" s="859">
        <f>F56</f>
        <v>93217</v>
      </c>
    </row>
    <row r="58" spans="1:6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3:50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435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359229</xdr:colOff>
                <xdr:row>1</xdr:row>
                <xdr:rowOff>38100</xdr:rowOff>
              </to>
            </anchor>
          </controlPr>
        </control>
      </mc:Choice>
      <mc:Fallback>
        <control shapeId="14357" r:id="rId4" name="FILTER"/>
      </mc:Fallback>
    </mc:AlternateContent>
    <mc:AlternateContent xmlns:mc="http://schemas.openxmlformats.org/markup-compatibility/2006">
      <mc:Choice Requires="x14">
        <control shapeId="1435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359229</xdr:colOff>
                <xdr:row>1</xdr:row>
                <xdr:rowOff>38100</xdr:rowOff>
              </to>
            </anchor>
          </controlPr>
        </control>
      </mc:Choice>
      <mc:Fallback>
        <control shapeId="14358" r:id="rId6" name="HEADER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F148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E1" sqref="E1"/>
    </sheetView>
  </sheetViews>
  <sheetFormatPr defaultColWidth="14.3828125" defaultRowHeight="15" customHeight="1" x14ac:dyDescent="0.4"/>
  <cols>
    <col min="1" max="1" width="5.3046875" style="861" bestFit="1" customWidth="1"/>
    <col min="2" max="2" width="10.69140625" style="861" bestFit="1" customWidth="1"/>
    <col min="3" max="3" width="6" style="861" bestFit="1" customWidth="1"/>
    <col min="4" max="5" width="30.69140625" style="861" customWidth="1"/>
    <col min="6" max="6" width="9.15234375" style="861" bestFit="1" customWidth="1"/>
  </cols>
  <sheetData>
    <row r="1" spans="1:6" s="890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43486</v>
      </c>
      <c r="C4" s="854" t="s">
        <v>628</v>
      </c>
      <c r="D4" s="854" t="s">
        <v>595</v>
      </c>
      <c r="E4" s="854" t="s">
        <v>634</v>
      </c>
      <c r="F4" s="856">
        <v>154.31</v>
      </c>
    </row>
    <row r="5" spans="1:6" ht="14.6" x14ac:dyDescent="0.4">
      <c r="A5" s="854" t="s">
        <v>576</v>
      </c>
      <c r="B5" s="855">
        <v>43488</v>
      </c>
      <c r="C5" s="854" t="s">
        <v>629</v>
      </c>
      <c r="D5" s="854" t="s">
        <v>633</v>
      </c>
      <c r="E5" s="854" t="s">
        <v>635</v>
      </c>
      <c r="F5" s="856">
        <v>381.55</v>
      </c>
    </row>
    <row r="6" spans="1:6" ht="14.6" x14ac:dyDescent="0.4">
      <c r="A6" s="854" t="s">
        <v>576</v>
      </c>
      <c r="B6" s="855">
        <v>43495</v>
      </c>
      <c r="C6" s="854" t="s">
        <v>630</v>
      </c>
      <c r="D6" s="854" t="s">
        <v>595</v>
      </c>
      <c r="E6" s="854" t="s">
        <v>636</v>
      </c>
      <c r="F6" s="856">
        <v>77.23</v>
      </c>
    </row>
    <row r="7" spans="1:6" ht="14.6" x14ac:dyDescent="0.4">
      <c r="A7" s="854" t="s">
        <v>576</v>
      </c>
      <c r="B7" s="855">
        <v>43496</v>
      </c>
      <c r="C7" s="854" t="s">
        <v>631</v>
      </c>
      <c r="D7" s="854" t="s">
        <v>619</v>
      </c>
      <c r="E7" s="854" t="s">
        <v>637</v>
      </c>
      <c r="F7" s="856">
        <v>163.46</v>
      </c>
    </row>
    <row r="8" spans="1:6" ht="14.6" x14ac:dyDescent="0.4">
      <c r="A8" s="854" t="s">
        <v>576</v>
      </c>
      <c r="B8" s="855">
        <v>43500</v>
      </c>
      <c r="C8" s="854" t="s">
        <v>612</v>
      </c>
      <c r="D8" s="854" t="s">
        <v>618</v>
      </c>
      <c r="E8" s="854" t="s">
        <v>638</v>
      </c>
      <c r="F8" s="856">
        <v>57.5</v>
      </c>
    </row>
    <row r="9" spans="1:6" ht="14.6" x14ac:dyDescent="0.4">
      <c r="A9" s="854" t="s">
        <v>576</v>
      </c>
      <c r="B9" s="855">
        <v>43500</v>
      </c>
      <c r="C9" s="854" t="s">
        <v>612</v>
      </c>
      <c r="D9" s="854" t="s">
        <v>618</v>
      </c>
      <c r="E9" s="854" t="s">
        <v>639</v>
      </c>
      <c r="F9" s="856">
        <v>22.64</v>
      </c>
    </row>
    <row r="10" spans="1:6" ht="14.6" x14ac:dyDescent="0.4">
      <c r="A10" s="854" t="s">
        <v>576</v>
      </c>
      <c r="B10" s="855">
        <v>43500</v>
      </c>
      <c r="C10" s="854" t="s">
        <v>612</v>
      </c>
      <c r="D10" s="854" t="s">
        <v>618</v>
      </c>
      <c r="E10" s="854" t="s">
        <v>640</v>
      </c>
      <c r="F10" s="856">
        <v>23.96</v>
      </c>
    </row>
    <row r="11" spans="1:6" ht="14.6" x14ac:dyDescent="0.4">
      <c r="A11" s="854" t="s">
        <v>576</v>
      </c>
      <c r="B11" s="855">
        <v>43500</v>
      </c>
      <c r="C11" s="854" t="s">
        <v>612</v>
      </c>
      <c r="D11" s="854" t="s">
        <v>618</v>
      </c>
      <c r="E11" s="854" t="s">
        <v>641</v>
      </c>
      <c r="F11" s="856">
        <v>5.39</v>
      </c>
    </row>
    <row r="12" spans="1:6" ht="14.6" x14ac:dyDescent="0.4">
      <c r="A12" s="854" t="s">
        <v>576</v>
      </c>
      <c r="B12" s="855">
        <v>43500</v>
      </c>
      <c r="C12" s="854" t="s">
        <v>612</v>
      </c>
      <c r="D12" s="854" t="s">
        <v>618</v>
      </c>
      <c r="E12" s="854" t="s">
        <v>642</v>
      </c>
      <c r="F12" s="856">
        <v>5.39</v>
      </c>
    </row>
    <row r="13" spans="1:6" ht="14.6" x14ac:dyDescent="0.4">
      <c r="A13" s="854" t="s">
        <v>576</v>
      </c>
      <c r="B13" s="855">
        <v>43500</v>
      </c>
      <c r="C13" s="854" t="s">
        <v>612</v>
      </c>
      <c r="D13" s="854" t="s">
        <v>618</v>
      </c>
      <c r="E13" s="854" t="s">
        <v>643</v>
      </c>
      <c r="F13" s="856">
        <v>3.4</v>
      </c>
    </row>
    <row r="14" spans="1:6" ht="14.6" x14ac:dyDescent="0.4">
      <c r="A14" s="854" t="s">
        <v>576</v>
      </c>
      <c r="B14" s="855">
        <v>43500</v>
      </c>
      <c r="C14" s="854" t="s">
        <v>612</v>
      </c>
      <c r="D14" s="854" t="s">
        <v>618</v>
      </c>
      <c r="E14" s="854" t="s">
        <v>644</v>
      </c>
      <c r="F14" s="856">
        <v>11.86</v>
      </c>
    </row>
    <row r="15" spans="1:6" ht="14.6" x14ac:dyDescent="0.4">
      <c r="A15" s="854" t="s">
        <v>576</v>
      </c>
      <c r="B15" s="855">
        <v>43500</v>
      </c>
      <c r="C15" s="854" t="s">
        <v>613</v>
      </c>
      <c r="D15" s="854" t="s">
        <v>618</v>
      </c>
      <c r="E15" s="854" t="s">
        <v>645</v>
      </c>
      <c r="F15" s="856">
        <v>677.28</v>
      </c>
    </row>
    <row r="16" spans="1:6" ht="14.6" x14ac:dyDescent="0.4">
      <c r="A16" s="854" t="s">
        <v>576</v>
      </c>
      <c r="B16" s="855">
        <v>43500</v>
      </c>
      <c r="C16" s="854" t="s">
        <v>613</v>
      </c>
      <c r="D16" s="854" t="s">
        <v>618</v>
      </c>
      <c r="E16" s="854" t="s">
        <v>646</v>
      </c>
      <c r="F16" s="856">
        <v>274.39</v>
      </c>
    </row>
    <row r="17" spans="1:6" ht="14.6" x14ac:dyDescent="0.4">
      <c r="A17" s="854" t="s">
        <v>576</v>
      </c>
      <c r="B17" s="855">
        <v>43500</v>
      </c>
      <c r="C17" s="854" t="s">
        <v>613</v>
      </c>
      <c r="D17" s="854" t="s">
        <v>618</v>
      </c>
      <c r="E17" s="854" t="s">
        <v>647</v>
      </c>
      <c r="F17" s="856">
        <v>282.2</v>
      </c>
    </row>
    <row r="18" spans="1:6" ht="14.6" x14ac:dyDescent="0.4">
      <c r="A18" s="854" t="s">
        <v>576</v>
      </c>
      <c r="B18" s="855">
        <v>43500</v>
      </c>
      <c r="C18" s="854" t="s">
        <v>613</v>
      </c>
      <c r="D18" s="854" t="s">
        <v>618</v>
      </c>
      <c r="E18" s="854" t="s">
        <v>648</v>
      </c>
      <c r="F18" s="856">
        <v>65.33</v>
      </c>
    </row>
    <row r="19" spans="1:6" ht="14.6" x14ac:dyDescent="0.4">
      <c r="A19" s="854" t="s">
        <v>576</v>
      </c>
      <c r="B19" s="855">
        <v>43500</v>
      </c>
      <c r="C19" s="854" t="s">
        <v>613</v>
      </c>
      <c r="D19" s="854" t="s">
        <v>618</v>
      </c>
      <c r="E19" s="854" t="s">
        <v>649</v>
      </c>
      <c r="F19" s="856">
        <v>65.33</v>
      </c>
    </row>
    <row r="20" spans="1:6" ht="14.6" x14ac:dyDescent="0.4">
      <c r="A20" s="854" t="s">
        <v>576</v>
      </c>
      <c r="B20" s="855">
        <v>43500</v>
      </c>
      <c r="C20" s="854" t="s">
        <v>613</v>
      </c>
      <c r="D20" s="854" t="s">
        <v>618</v>
      </c>
      <c r="E20" s="854" t="s">
        <v>650</v>
      </c>
      <c r="F20" s="856">
        <v>20.399999999999999</v>
      </c>
    </row>
    <row r="21" spans="1:6" ht="14.6" x14ac:dyDescent="0.4">
      <c r="A21" s="854" t="s">
        <v>576</v>
      </c>
      <c r="B21" s="855">
        <v>43500</v>
      </c>
      <c r="C21" s="854" t="s">
        <v>613</v>
      </c>
      <c r="D21" s="854" t="s">
        <v>618</v>
      </c>
      <c r="E21" s="854" t="s">
        <v>651</v>
      </c>
      <c r="F21" s="856">
        <v>143.72999999999999</v>
      </c>
    </row>
    <row r="22" spans="1:6" ht="14.6" x14ac:dyDescent="0.4">
      <c r="A22" s="854" t="s">
        <v>576</v>
      </c>
      <c r="B22" s="855">
        <v>43500</v>
      </c>
      <c r="C22" s="854" t="s">
        <v>614</v>
      </c>
      <c r="D22" s="854" t="s">
        <v>618</v>
      </c>
      <c r="E22" s="854" t="s">
        <v>652</v>
      </c>
      <c r="F22" s="856">
        <v>694.46</v>
      </c>
    </row>
    <row r="23" spans="1:6" ht="14.6" x14ac:dyDescent="0.4">
      <c r="A23" s="854" t="s">
        <v>576</v>
      </c>
      <c r="B23" s="855">
        <v>43500</v>
      </c>
      <c r="C23" s="854" t="s">
        <v>614</v>
      </c>
      <c r="D23" s="854" t="s">
        <v>618</v>
      </c>
      <c r="E23" s="854" t="s">
        <v>653</v>
      </c>
      <c r="F23" s="856">
        <v>260.14999999999998</v>
      </c>
    </row>
    <row r="24" spans="1:6" ht="14.6" x14ac:dyDescent="0.4">
      <c r="A24" s="854" t="s">
        <v>576</v>
      </c>
      <c r="B24" s="855">
        <v>43500</v>
      </c>
      <c r="C24" s="854" t="s">
        <v>614</v>
      </c>
      <c r="D24" s="854" t="s">
        <v>618</v>
      </c>
      <c r="E24" s="854" t="s">
        <v>654</v>
      </c>
      <c r="F24" s="856">
        <v>188.08</v>
      </c>
    </row>
    <row r="25" spans="1:6" ht="14.6" x14ac:dyDescent="0.4">
      <c r="A25" s="854" t="s">
        <v>576</v>
      </c>
      <c r="B25" s="855">
        <v>43500</v>
      </c>
      <c r="C25" s="854" t="s">
        <v>614</v>
      </c>
      <c r="D25" s="854" t="s">
        <v>618</v>
      </c>
      <c r="E25" s="854" t="s">
        <v>655</v>
      </c>
      <c r="F25" s="856">
        <v>61.94</v>
      </c>
    </row>
    <row r="26" spans="1:6" ht="14.6" x14ac:dyDescent="0.4">
      <c r="A26" s="854" t="s">
        <v>576</v>
      </c>
      <c r="B26" s="855">
        <v>43500</v>
      </c>
      <c r="C26" s="854" t="s">
        <v>614</v>
      </c>
      <c r="D26" s="854" t="s">
        <v>618</v>
      </c>
      <c r="E26" s="854" t="s">
        <v>656</v>
      </c>
      <c r="F26" s="856">
        <v>61.94</v>
      </c>
    </row>
    <row r="27" spans="1:6" ht="14.6" x14ac:dyDescent="0.4">
      <c r="A27" s="854" t="s">
        <v>576</v>
      </c>
      <c r="B27" s="855">
        <v>43500</v>
      </c>
      <c r="C27" s="854" t="s">
        <v>614</v>
      </c>
      <c r="D27" s="854" t="s">
        <v>618</v>
      </c>
      <c r="E27" s="854" t="s">
        <v>657</v>
      </c>
      <c r="F27" s="856">
        <v>40.799999999999997</v>
      </c>
    </row>
    <row r="28" spans="1:6" ht="14.6" x14ac:dyDescent="0.4">
      <c r="A28" s="854" t="s">
        <v>576</v>
      </c>
      <c r="B28" s="855">
        <v>43500</v>
      </c>
      <c r="C28" s="854" t="s">
        <v>614</v>
      </c>
      <c r="D28" s="854" t="s">
        <v>618</v>
      </c>
      <c r="E28" s="854" t="s">
        <v>658</v>
      </c>
      <c r="F28" s="856">
        <v>136.27000000000001</v>
      </c>
    </row>
    <row r="29" spans="1:6" ht="14.6" x14ac:dyDescent="0.4">
      <c r="A29" s="854" t="s">
        <v>576</v>
      </c>
      <c r="B29" s="855">
        <v>43521</v>
      </c>
      <c r="C29" s="854" t="s">
        <v>632</v>
      </c>
      <c r="D29" s="854" t="s">
        <v>619</v>
      </c>
      <c r="E29" s="854" t="s">
        <v>637</v>
      </c>
      <c r="F29" s="856">
        <v>95.92</v>
      </c>
    </row>
    <row r="30" spans="1:6" ht="14.6" x14ac:dyDescent="0.4">
      <c r="A30" s="854" t="s">
        <v>576</v>
      </c>
      <c r="B30" s="855">
        <v>43534</v>
      </c>
      <c r="C30" s="854" t="s">
        <v>1199</v>
      </c>
      <c r="D30" s="854" t="s">
        <v>595</v>
      </c>
      <c r="E30" s="854" t="s">
        <v>1201</v>
      </c>
      <c r="F30" s="856">
        <v>257.07</v>
      </c>
    </row>
    <row r="31" spans="1:6" ht="14.6" x14ac:dyDescent="0.4">
      <c r="A31" s="854" t="s">
        <v>576</v>
      </c>
      <c r="B31" s="855">
        <v>43537</v>
      </c>
      <c r="C31" s="854" t="s">
        <v>1200</v>
      </c>
      <c r="D31" s="854" t="s">
        <v>633</v>
      </c>
      <c r="E31" s="854" t="s">
        <v>1202</v>
      </c>
      <c r="F31" s="856">
        <v>234.87</v>
      </c>
    </row>
    <row r="32" spans="1:6" ht="14.6" x14ac:dyDescent="0.4">
      <c r="A32" s="854" t="s">
        <v>576</v>
      </c>
      <c r="B32" s="855">
        <v>43549</v>
      </c>
      <c r="C32" s="854" t="s">
        <v>1192</v>
      </c>
      <c r="D32" s="854" t="s">
        <v>618</v>
      </c>
      <c r="E32" s="854" t="s">
        <v>1203</v>
      </c>
      <c r="F32" s="856">
        <v>18.75</v>
      </c>
    </row>
    <row r="33" spans="1:6" ht="14.6" x14ac:dyDescent="0.4">
      <c r="A33" s="854" t="s">
        <v>576</v>
      </c>
      <c r="B33" s="855">
        <v>43549</v>
      </c>
      <c r="C33" s="854" t="s">
        <v>1192</v>
      </c>
      <c r="D33" s="854" t="s">
        <v>618</v>
      </c>
      <c r="E33" s="854" t="s">
        <v>1204</v>
      </c>
      <c r="F33" s="856">
        <v>930</v>
      </c>
    </row>
    <row r="34" spans="1:6" ht="14.6" x14ac:dyDescent="0.4">
      <c r="A34" s="854" t="s">
        <v>576</v>
      </c>
      <c r="B34" s="855">
        <v>43556</v>
      </c>
      <c r="C34" s="854" t="s">
        <v>1193</v>
      </c>
      <c r="D34" s="854" t="s">
        <v>618</v>
      </c>
      <c r="E34" s="854" t="s">
        <v>1205</v>
      </c>
      <c r="F34" s="856">
        <v>450</v>
      </c>
    </row>
    <row r="35" spans="1:6" ht="14.6" x14ac:dyDescent="0.4">
      <c r="A35" s="854" t="s">
        <v>576</v>
      </c>
      <c r="B35" s="855">
        <v>43579</v>
      </c>
      <c r="C35" s="854" t="s">
        <v>1443</v>
      </c>
      <c r="D35" s="854" t="s">
        <v>595</v>
      </c>
      <c r="E35" s="854" t="s">
        <v>1201</v>
      </c>
      <c r="F35" s="856">
        <v>257.07</v>
      </c>
    </row>
    <row r="36" spans="1:6" ht="14.6" x14ac:dyDescent="0.4">
      <c r="A36" s="854" t="s">
        <v>576</v>
      </c>
      <c r="B36" s="855">
        <v>43580</v>
      </c>
      <c r="C36" s="854" t="s">
        <v>1444</v>
      </c>
      <c r="D36" s="854" t="s">
        <v>619</v>
      </c>
      <c r="E36" s="854" t="s">
        <v>1445</v>
      </c>
      <c r="F36" s="856">
        <v>1320.61</v>
      </c>
    </row>
    <row r="37" spans="1:6" ht="14.6" x14ac:dyDescent="0.4">
      <c r="A37" s="854" t="s">
        <v>576</v>
      </c>
      <c r="B37" s="855">
        <v>43580</v>
      </c>
      <c r="C37" s="854" t="s">
        <v>1444</v>
      </c>
      <c r="D37" s="854" t="s">
        <v>619</v>
      </c>
      <c r="E37" s="854" t="s">
        <v>1446</v>
      </c>
      <c r="F37" s="856">
        <v>17156.240000000002</v>
      </c>
    </row>
    <row r="38" spans="1:6" ht="14.6" x14ac:dyDescent="0.4">
      <c r="A38" s="854" t="s">
        <v>576</v>
      </c>
      <c r="B38" s="855">
        <v>43580</v>
      </c>
      <c r="C38" s="854" t="s">
        <v>1444</v>
      </c>
      <c r="D38" s="854" t="s">
        <v>619</v>
      </c>
      <c r="E38" s="854" t="s">
        <v>1447</v>
      </c>
      <c r="F38" s="856">
        <v>4209.4399999999996</v>
      </c>
    </row>
    <row r="39" spans="1:6" ht="14.6" x14ac:dyDescent="0.4">
      <c r="A39" s="854" t="s">
        <v>576</v>
      </c>
      <c r="B39" s="855">
        <v>43580</v>
      </c>
      <c r="C39" s="854" t="s">
        <v>1444</v>
      </c>
      <c r="D39" s="854" t="s">
        <v>619</v>
      </c>
      <c r="E39" s="854" t="s">
        <v>1448</v>
      </c>
      <c r="F39" s="856">
        <v>368.22</v>
      </c>
    </row>
    <row r="40" spans="1:6" ht="14.6" x14ac:dyDescent="0.4">
      <c r="A40" s="854" t="s">
        <v>576</v>
      </c>
      <c r="B40" s="855">
        <v>43580</v>
      </c>
      <c r="C40" s="854" t="s">
        <v>1444</v>
      </c>
      <c r="D40" s="854" t="s">
        <v>619</v>
      </c>
      <c r="E40" s="854" t="s">
        <v>1449</v>
      </c>
      <c r="F40" s="856">
        <v>7505.86</v>
      </c>
    </row>
    <row r="41" spans="1:6" ht="14.6" x14ac:dyDescent="0.4">
      <c r="A41" s="854" t="s">
        <v>576</v>
      </c>
      <c r="B41" s="855">
        <v>43580</v>
      </c>
      <c r="C41" s="854" t="s">
        <v>1444</v>
      </c>
      <c r="D41" s="854" t="s">
        <v>619</v>
      </c>
      <c r="E41" s="854" t="s">
        <v>1450</v>
      </c>
      <c r="F41" s="856">
        <v>3572.49</v>
      </c>
    </row>
    <row r="42" spans="1:6" ht="14.6" x14ac:dyDescent="0.4">
      <c r="A42" s="854" t="s">
        <v>576</v>
      </c>
      <c r="B42" s="855">
        <v>43580</v>
      </c>
      <c r="C42" s="854" t="s">
        <v>1444</v>
      </c>
      <c r="D42" s="854" t="s">
        <v>619</v>
      </c>
      <c r="E42" s="854" t="s">
        <v>1451</v>
      </c>
      <c r="F42" s="856">
        <v>1560</v>
      </c>
    </row>
    <row r="43" spans="1:6" ht="14.6" x14ac:dyDescent="0.4">
      <c r="A43" s="854" t="s">
        <v>576</v>
      </c>
      <c r="B43" s="855">
        <v>43580</v>
      </c>
      <c r="C43" s="854" t="s">
        <v>1444</v>
      </c>
      <c r="D43" s="854" t="s">
        <v>619</v>
      </c>
      <c r="E43" s="854" t="s">
        <v>1452</v>
      </c>
      <c r="F43" s="856">
        <v>200</v>
      </c>
    </row>
    <row r="44" spans="1:6" ht="14.6" x14ac:dyDescent="0.4">
      <c r="A44" s="854" t="s">
        <v>576</v>
      </c>
      <c r="B44" s="855">
        <v>43580</v>
      </c>
      <c r="C44" s="854" t="s">
        <v>1444</v>
      </c>
      <c r="D44" s="854" t="s">
        <v>619</v>
      </c>
      <c r="E44" s="854" t="s">
        <v>1453</v>
      </c>
      <c r="F44" s="856">
        <v>31.68</v>
      </c>
    </row>
    <row r="45" spans="1:6" ht="14.6" x14ac:dyDescent="0.4">
      <c r="A45" s="854" t="s">
        <v>576</v>
      </c>
      <c r="B45" s="855">
        <v>43598</v>
      </c>
      <c r="C45" s="854" t="s">
        <v>1684</v>
      </c>
      <c r="D45" s="854" t="s">
        <v>618</v>
      </c>
      <c r="E45" s="854" t="s">
        <v>1700</v>
      </c>
      <c r="F45" s="856">
        <v>7.18</v>
      </c>
    </row>
    <row r="46" spans="1:6" ht="14.6" x14ac:dyDescent="0.4">
      <c r="A46" s="854" t="s">
        <v>576</v>
      </c>
      <c r="B46" s="855">
        <v>43598</v>
      </c>
      <c r="C46" s="854" t="s">
        <v>1684</v>
      </c>
      <c r="D46" s="854" t="s">
        <v>618</v>
      </c>
      <c r="E46" s="854" t="s">
        <v>1701</v>
      </c>
      <c r="F46" s="856">
        <v>11.05</v>
      </c>
    </row>
    <row r="47" spans="1:6" ht="14.6" x14ac:dyDescent="0.4">
      <c r="A47" s="854" t="s">
        <v>576</v>
      </c>
      <c r="B47" s="855">
        <v>43598</v>
      </c>
      <c r="C47" s="854" t="s">
        <v>1684</v>
      </c>
      <c r="D47" s="854" t="s">
        <v>618</v>
      </c>
      <c r="E47" s="854" t="s">
        <v>1702</v>
      </c>
      <c r="F47" s="856">
        <v>3.76</v>
      </c>
    </row>
    <row r="48" spans="1:6" ht="14.6" x14ac:dyDescent="0.4">
      <c r="A48" s="854" t="s">
        <v>576</v>
      </c>
      <c r="B48" s="855">
        <v>43598</v>
      </c>
      <c r="C48" s="854" t="s">
        <v>1684</v>
      </c>
      <c r="D48" s="854" t="s">
        <v>618</v>
      </c>
      <c r="E48" s="854" t="s">
        <v>1703</v>
      </c>
      <c r="F48" s="856">
        <v>2.0499999999999998</v>
      </c>
    </row>
    <row r="49" spans="1:6" ht="14.6" x14ac:dyDescent="0.4">
      <c r="A49" s="854" t="s">
        <v>576</v>
      </c>
      <c r="B49" s="855">
        <v>43599</v>
      </c>
      <c r="C49" s="854" t="s">
        <v>1685</v>
      </c>
      <c r="D49" s="854" t="s">
        <v>618</v>
      </c>
      <c r="E49" s="854" t="s">
        <v>1203</v>
      </c>
      <c r="F49" s="856">
        <v>18.75</v>
      </c>
    </row>
    <row r="50" spans="1:6" ht="14.6" x14ac:dyDescent="0.4">
      <c r="A50" s="854" t="s">
        <v>576</v>
      </c>
      <c r="B50" s="855">
        <v>43599</v>
      </c>
      <c r="C50" s="854" t="s">
        <v>1685</v>
      </c>
      <c r="D50" s="854" t="s">
        <v>618</v>
      </c>
      <c r="E50" s="854" t="s">
        <v>1204</v>
      </c>
      <c r="F50" s="856">
        <v>930</v>
      </c>
    </row>
    <row r="51" spans="1:6" ht="14.6" x14ac:dyDescent="0.4">
      <c r="A51" s="854" t="s">
        <v>576</v>
      </c>
      <c r="B51" s="855">
        <v>43602</v>
      </c>
      <c r="C51" s="854" t="s">
        <v>1686</v>
      </c>
      <c r="D51" s="854" t="s">
        <v>618</v>
      </c>
      <c r="E51" s="854" t="s">
        <v>1704</v>
      </c>
      <c r="F51" s="856">
        <v>1050.8800000000001</v>
      </c>
    </row>
    <row r="52" spans="1:6" ht="14.6" x14ac:dyDescent="0.4">
      <c r="A52" s="854" t="s">
        <v>576</v>
      </c>
      <c r="B52" s="855">
        <v>43602</v>
      </c>
      <c r="C52" s="854" t="s">
        <v>1686</v>
      </c>
      <c r="D52" s="854" t="s">
        <v>618</v>
      </c>
      <c r="E52" s="854" t="s">
        <v>1705</v>
      </c>
      <c r="F52" s="856">
        <v>301.81</v>
      </c>
    </row>
    <row r="53" spans="1:6" ht="14.6" x14ac:dyDescent="0.4">
      <c r="A53" s="854" t="s">
        <v>576</v>
      </c>
      <c r="B53" s="855">
        <v>43602</v>
      </c>
      <c r="C53" s="854" t="s">
        <v>1686</v>
      </c>
      <c r="D53" s="854" t="s">
        <v>618</v>
      </c>
      <c r="E53" s="854" t="s">
        <v>1706</v>
      </c>
      <c r="F53" s="856">
        <v>229.88</v>
      </c>
    </row>
    <row r="54" spans="1:6" ht="14.6" x14ac:dyDescent="0.4">
      <c r="A54" s="854" t="s">
        <v>576</v>
      </c>
      <c r="B54" s="855">
        <v>43602</v>
      </c>
      <c r="C54" s="854" t="s">
        <v>1686</v>
      </c>
      <c r="D54" s="854" t="s">
        <v>618</v>
      </c>
      <c r="E54" s="854" t="s">
        <v>1707</v>
      </c>
      <c r="F54" s="856">
        <v>71.86</v>
      </c>
    </row>
    <row r="55" spans="1:6" ht="14.6" x14ac:dyDescent="0.4">
      <c r="A55" s="854" t="s">
        <v>576</v>
      </c>
      <c r="B55" s="855">
        <v>43602</v>
      </c>
      <c r="C55" s="854" t="s">
        <v>1686</v>
      </c>
      <c r="D55" s="854" t="s">
        <v>618</v>
      </c>
      <c r="E55" s="854" t="s">
        <v>1708</v>
      </c>
      <c r="F55" s="856">
        <v>2.5499999999999998</v>
      </c>
    </row>
    <row r="56" spans="1:6" ht="14.6" x14ac:dyDescent="0.4">
      <c r="A56" s="854" t="s">
        <v>576</v>
      </c>
      <c r="B56" s="855">
        <v>43602</v>
      </c>
      <c r="C56" s="854" t="s">
        <v>1686</v>
      </c>
      <c r="D56" s="854" t="s">
        <v>618</v>
      </c>
      <c r="E56" s="854" t="s">
        <v>1709</v>
      </c>
      <c r="F56" s="856">
        <v>158.03</v>
      </c>
    </row>
    <row r="57" spans="1:6" ht="14.6" x14ac:dyDescent="0.4">
      <c r="A57" s="854" t="s">
        <v>576</v>
      </c>
      <c r="B57" s="855">
        <v>43607</v>
      </c>
      <c r="C57" s="854" t="s">
        <v>1687</v>
      </c>
      <c r="D57" s="854" t="s">
        <v>618</v>
      </c>
      <c r="E57" s="854" t="s">
        <v>1710</v>
      </c>
      <c r="F57" s="856">
        <v>0.42</v>
      </c>
    </row>
    <row r="58" spans="1:6" ht="14.6" x14ac:dyDescent="0.4">
      <c r="A58" s="854" t="s">
        <v>576</v>
      </c>
      <c r="B58" s="855">
        <v>43607</v>
      </c>
      <c r="C58" s="854" t="s">
        <v>1687</v>
      </c>
      <c r="D58" s="854" t="s">
        <v>618</v>
      </c>
      <c r="E58" s="854" t="s">
        <v>1711</v>
      </c>
      <c r="F58" s="856">
        <v>1.7</v>
      </c>
    </row>
    <row r="59" spans="1:6" ht="14.6" x14ac:dyDescent="0.4">
      <c r="A59" s="854" t="s">
        <v>576</v>
      </c>
      <c r="B59" s="855">
        <v>43607</v>
      </c>
      <c r="C59" s="854" t="s">
        <v>1687</v>
      </c>
      <c r="D59" s="854" t="s">
        <v>618</v>
      </c>
      <c r="E59" s="854" t="s">
        <v>1712</v>
      </c>
      <c r="F59" s="856">
        <v>0.22</v>
      </c>
    </row>
    <row r="60" spans="1:6" ht="14.6" x14ac:dyDescent="0.4">
      <c r="A60" s="854" t="s">
        <v>576</v>
      </c>
      <c r="B60" s="855">
        <v>43607</v>
      </c>
      <c r="C60" s="854" t="s">
        <v>1687</v>
      </c>
      <c r="D60" s="854" t="s">
        <v>618</v>
      </c>
      <c r="E60" s="854" t="s">
        <v>1713</v>
      </c>
      <c r="F60" s="856">
        <v>0.41</v>
      </c>
    </row>
    <row r="61" spans="1:6" ht="14.6" x14ac:dyDescent="0.4">
      <c r="A61" s="854" t="s">
        <v>576</v>
      </c>
      <c r="B61" s="855">
        <v>43621</v>
      </c>
      <c r="C61" s="854" t="s">
        <v>1699</v>
      </c>
      <c r="D61" s="854" t="s">
        <v>595</v>
      </c>
      <c r="E61" s="854" t="s">
        <v>1714</v>
      </c>
      <c r="F61" s="856">
        <v>229</v>
      </c>
    </row>
    <row r="62" spans="1:6" ht="14.6" x14ac:dyDescent="0.4">
      <c r="A62" s="854" t="s">
        <v>576</v>
      </c>
      <c r="B62" s="855">
        <v>43623</v>
      </c>
      <c r="C62" s="854" t="s">
        <v>1688</v>
      </c>
      <c r="D62" s="854" t="s">
        <v>618</v>
      </c>
      <c r="E62" s="854" t="s">
        <v>1715</v>
      </c>
      <c r="F62" s="856">
        <v>3.46</v>
      </c>
    </row>
    <row r="63" spans="1:6" ht="14.6" x14ac:dyDescent="0.4">
      <c r="A63" s="854" t="s">
        <v>576</v>
      </c>
      <c r="B63" s="855">
        <v>43623</v>
      </c>
      <c r="C63" s="854" t="s">
        <v>1688</v>
      </c>
      <c r="D63" s="854" t="s">
        <v>618</v>
      </c>
      <c r="E63" s="854" t="s">
        <v>1716</v>
      </c>
      <c r="F63" s="856">
        <v>0.97</v>
      </c>
    </row>
    <row r="64" spans="1:6" ht="14.6" x14ac:dyDescent="0.4">
      <c r="A64" s="854" t="s">
        <v>576</v>
      </c>
      <c r="B64" s="855">
        <v>43623</v>
      </c>
      <c r="C64" s="854" t="s">
        <v>1688</v>
      </c>
      <c r="D64" s="854" t="s">
        <v>618</v>
      </c>
      <c r="E64" s="854" t="s">
        <v>1717</v>
      </c>
      <c r="F64" s="856">
        <v>0.76</v>
      </c>
    </row>
    <row r="65" spans="1:6" ht="14.6" x14ac:dyDescent="0.4">
      <c r="A65" s="854" t="s">
        <v>576</v>
      </c>
      <c r="B65" s="855">
        <v>43623</v>
      </c>
      <c r="C65" s="854" t="s">
        <v>1688</v>
      </c>
      <c r="D65" s="854" t="s">
        <v>618</v>
      </c>
      <c r="E65" s="854" t="s">
        <v>1718</v>
      </c>
      <c r="F65" s="856">
        <v>0.23</v>
      </c>
    </row>
    <row r="66" spans="1:6" ht="14.6" x14ac:dyDescent="0.4">
      <c r="A66" s="854" t="s">
        <v>576</v>
      </c>
      <c r="B66" s="855">
        <v>43623</v>
      </c>
      <c r="C66" s="854" t="s">
        <v>1688</v>
      </c>
      <c r="D66" s="854" t="s">
        <v>618</v>
      </c>
      <c r="E66" s="854" t="s">
        <v>1719</v>
      </c>
      <c r="F66" s="856">
        <v>0.85</v>
      </c>
    </row>
    <row r="67" spans="1:6" ht="14.6" x14ac:dyDescent="0.4">
      <c r="A67" s="854" t="s">
        <v>576</v>
      </c>
      <c r="B67" s="855">
        <v>43623</v>
      </c>
      <c r="C67" s="854" t="s">
        <v>1688</v>
      </c>
      <c r="D67" s="854" t="s">
        <v>618</v>
      </c>
      <c r="E67" s="854" t="s">
        <v>1720</v>
      </c>
      <c r="F67" s="856">
        <v>0.51</v>
      </c>
    </row>
    <row r="68" spans="1:6" ht="14.6" x14ac:dyDescent="0.4">
      <c r="A68" s="854" t="s">
        <v>576</v>
      </c>
      <c r="B68" s="855">
        <v>43623</v>
      </c>
      <c r="C68" s="854" t="s">
        <v>1688</v>
      </c>
      <c r="D68" s="854" t="s">
        <v>618</v>
      </c>
      <c r="E68" s="854" t="s">
        <v>1721</v>
      </c>
      <c r="F68" s="856">
        <v>0.94</v>
      </c>
    </row>
    <row r="69" spans="1:6" ht="14.6" x14ac:dyDescent="0.4">
      <c r="A69" s="854" t="s">
        <v>576</v>
      </c>
      <c r="B69" s="855">
        <v>43626</v>
      </c>
      <c r="C69" s="854" t="s">
        <v>1689</v>
      </c>
      <c r="D69" s="854" t="s">
        <v>618</v>
      </c>
      <c r="E69" s="854" t="s">
        <v>1722</v>
      </c>
      <c r="F69" s="856">
        <v>243.58</v>
      </c>
    </row>
    <row r="70" spans="1:6" ht="14.6" x14ac:dyDescent="0.4">
      <c r="A70" s="854" t="s">
        <v>576</v>
      </c>
      <c r="B70" s="855">
        <v>43626</v>
      </c>
      <c r="C70" s="854" t="s">
        <v>1689</v>
      </c>
      <c r="D70" s="854" t="s">
        <v>618</v>
      </c>
      <c r="E70" s="854" t="s">
        <v>1723</v>
      </c>
      <c r="F70" s="856">
        <v>54.05</v>
      </c>
    </row>
    <row r="71" spans="1:6" ht="14.6" x14ac:dyDescent="0.4">
      <c r="A71" s="854" t="s">
        <v>576</v>
      </c>
      <c r="B71" s="855">
        <v>43626</v>
      </c>
      <c r="C71" s="854" t="s">
        <v>1689</v>
      </c>
      <c r="D71" s="854" t="s">
        <v>618</v>
      </c>
      <c r="E71" s="854" t="s">
        <v>1724</v>
      </c>
      <c r="F71" s="856">
        <v>53.28</v>
      </c>
    </row>
    <row r="72" spans="1:6" ht="14.6" x14ac:dyDescent="0.4">
      <c r="A72" s="854" t="s">
        <v>576</v>
      </c>
      <c r="B72" s="855">
        <v>43626</v>
      </c>
      <c r="C72" s="854" t="s">
        <v>1689</v>
      </c>
      <c r="D72" s="854" t="s">
        <v>618</v>
      </c>
      <c r="E72" s="854" t="s">
        <v>1725</v>
      </c>
      <c r="F72" s="856">
        <v>12.87</v>
      </c>
    </row>
    <row r="73" spans="1:6" ht="14.6" x14ac:dyDescent="0.4">
      <c r="A73" s="854" t="s">
        <v>576</v>
      </c>
      <c r="B73" s="855">
        <v>43626</v>
      </c>
      <c r="C73" s="854" t="s">
        <v>1689</v>
      </c>
      <c r="D73" s="854" t="s">
        <v>618</v>
      </c>
      <c r="E73" s="854" t="s">
        <v>1708</v>
      </c>
      <c r="F73" s="856">
        <v>2.5499999999999998</v>
      </c>
    </row>
    <row r="74" spans="1:6" ht="14.6" x14ac:dyDescent="0.4">
      <c r="A74" s="854" t="s">
        <v>576</v>
      </c>
      <c r="B74" s="855">
        <v>43626</v>
      </c>
      <c r="C74" s="854" t="s">
        <v>1689</v>
      </c>
      <c r="D74" s="854" t="s">
        <v>618</v>
      </c>
      <c r="E74" s="854" t="s">
        <v>1726</v>
      </c>
      <c r="F74" s="856">
        <v>28.31</v>
      </c>
    </row>
    <row r="75" spans="1:6" ht="14.6" x14ac:dyDescent="0.4">
      <c r="A75" s="854" t="s">
        <v>576</v>
      </c>
      <c r="B75" s="855">
        <v>43642</v>
      </c>
      <c r="C75" s="854" t="s">
        <v>1902</v>
      </c>
      <c r="D75" s="854" t="s">
        <v>595</v>
      </c>
      <c r="E75" s="854" t="s">
        <v>1714</v>
      </c>
      <c r="F75" s="856">
        <v>229</v>
      </c>
    </row>
    <row r="76" spans="1:6" ht="14.6" x14ac:dyDescent="0.4">
      <c r="A76" s="854" t="s">
        <v>576</v>
      </c>
      <c r="B76" s="855">
        <v>43643</v>
      </c>
      <c r="C76" s="854" t="s">
        <v>1898</v>
      </c>
      <c r="D76" s="854" t="s">
        <v>618</v>
      </c>
      <c r="E76" s="854" t="s">
        <v>1203</v>
      </c>
      <c r="F76" s="856">
        <v>18.75</v>
      </c>
    </row>
    <row r="77" spans="1:6" ht="14.6" x14ac:dyDescent="0.4">
      <c r="A77" s="854" t="s">
        <v>576</v>
      </c>
      <c r="B77" s="855">
        <v>43643</v>
      </c>
      <c r="C77" s="854" t="s">
        <v>1898</v>
      </c>
      <c r="D77" s="854" t="s">
        <v>618</v>
      </c>
      <c r="E77" s="854" t="s">
        <v>1204</v>
      </c>
      <c r="F77" s="856">
        <v>930</v>
      </c>
    </row>
    <row r="78" spans="1:6" ht="14.6" x14ac:dyDescent="0.4">
      <c r="A78" s="854" t="s">
        <v>576</v>
      </c>
      <c r="B78" s="855">
        <v>43646</v>
      </c>
      <c r="C78" s="854" t="s">
        <v>1903</v>
      </c>
      <c r="D78" s="854" t="s">
        <v>619</v>
      </c>
      <c r="E78" s="854" t="s">
        <v>637</v>
      </c>
      <c r="F78" s="856">
        <v>82.83</v>
      </c>
    </row>
    <row r="79" spans="1:6" ht="14.6" x14ac:dyDescent="0.4">
      <c r="A79" s="854" t="s">
        <v>576</v>
      </c>
      <c r="B79" s="855">
        <v>43646</v>
      </c>
      <c r="C79" s="854" t="s">
        <v>1904</v>
      </c>
      <c r="D79" s="854" t="s">
        <v>619</v>
      </c>
      <c r="E79" s="854" t="s">
        <v>1445</v>
      </c>
      <c r="F79" s="856">
        <v>0</v>
      </c>
    </row>
    <row r="80" spans="1:6" ht="14.6" x14ac:dyDescent="0.4">
      <c r="A80" s="854" t="s">
        <v>576</v>
      </c>
      <c r="B80" s="855">
        <v>43646</v>
      </c>
      <c r="C80" s="854" t="s">
        <v>1904</v>
      </c>
      <c r="D80" s="854" t="s">
        <v>619</v>
      </c>
      <c r="E80" s="854" t="s">
        <v>1446</v>
      </c>
      <c r="F80" s="856">
        <v>0</v>
      </c>
    </row>
    <row r="81" spans="1:6" ht="14.6" x14ac:dyDescent="0.4">
      <c r="A81" s="854" t="s">
        <v>576</v>
      </c>
      <c r="B81" s="855">
        <v>43646</v>
      </c>
      <c r="C81" s="854" t="s">
        <v>1904</v>
      </c>
      <c r="D81" s="854" t="s">
        <v>619</v>
      </c>
      <c r="E81" s="854" t="s">
        <v>1447</v>
      </c>
      <c r="F81" s="856">
        <v>0</v>
      </c>
    </row>
    <row r="82" spans="1:6" ht="14.6" x14ac:dyDescent="0.4">
      <c r="A82" s="854" t="s">
        <v>576</v>
      </c>
      <c r="B82" s="855">
        <v>43646</v>
      </c>
      <c r="C82" s="854" t="s">
        <v>1904</v>
      </c>
      <c r="D82" s="854" t="s">
        <v>619</v>
      </c>
      <c r="E82" s="854" t="s">
        <v>1448</v>
      </c>
      <c r="F82" s="856">
        <v>0</v>
      </c>
    </row>
    <row r="83" spans="1:6" ht="14.6" x14ac:dyDescent="0.4">
      <c r="A83" s="854" t="s">
        <v>576</v>
      </c>
      <c r="B83" s="855">
        <v>43646</v>
      </c>
      <c r="C83" s="854" t="s">
        <v>1904</v>
      </c>
      <c r="D83" s="854" t="s">
        <v>619</v>
      </c>
      <c r="E83" s="854" t="s">
        <v>1449</v>
      </c>
      <c r="F83" s="856">
        <v>0</v>
      </c>
    </row>
    <row r="84" spans="1:6" ht="14.6" x14ac:dyDescent="0.4">
      <c r="A84" s="854" t="s">
        <v>576</v>
      </c>
      <c r="B84" s="855">
        <v>43646</v>
      </c>
      <c r="C84" s="854" t="s">
        <v>1904</v>
      </c>
      <c r="D84" s="854" t="s">
        <v>619</v>
      </c>
      <c r="E84" s="854" t="s">
        <v>1450</v>
      </c>
      <c r="F84" s="856">
        <v>0</v>
      </c>
    </row>
    <row r="85" spans="1:6" ht="14.6" x14ac:dyDescent="0.4">
      <c r="A85" s="854" t="s">
        <v>576</v>
      </c>
      <c r="B85" s="855">
        <v>43646</v>
      </c>
      <c r="C85" s="854" t="s">
        <v>1904</v>
      </c>
      <c r="D85" s="854" t="s">
        <v>619</v>
      </c>
      <c r="E85" s="854" t="s">
        <v>1451</v>
      </c>
      <c r="F85" s="856">
        <v>0</v>
      </c>
    </row>
    <row r="86" spans="1:6" ht="14.6" x14ac:dyDescent="0.4">
      <c r="A86" s="854" t="s">
        <v>576</v>
      </c>
      <c r="B86" s="855">
        <v>43646</v>
      </c>
      <c r="C86" s="854" t="s">
        <v>1904</v>
      </c>
      <c r="D86" s="854" t="s">
        <v>619</v>
      </c>
      <c r="E86" s="854" t="s">
        <v>1452</v>
      </c>
      <c r="F86" s="856">
        <v>200</v>
      </c>
    </row>
    <row r="87" spans="1:6" ht="14.6" x14ac:dyDescent="0.4">
      <c r="A87" s="854" t="s">
        <v>576</v>
      </c>
      <c r="B87" s="855">
        <v>43646</v>
      </c>
      <c r="C87" s="854" t="s">
        <v>1904</v>
      </c>
      <c r="D87" s="854" t="s">
        <v>619</v>
      </c>
      <c r="E87" s="854" t="s">
        <v>1453</v>
      </c>
      <c r="F87" s="856">
        <v>0</v>
      </c>
    </row>
    <row r="88" spans="1:6" ht="14.6" x14ac:dyDescent="0.4">
      <c r="A88" s="854" t="s">
        <v>576</v>
      </c>
      <c r="B88" s="855">
        <v>43658</v>
      </c>
      <c r="C88" s="854" t="s">
        <v>2104</v>
      </c>
      <c r="D88" s="854" t="s">
        <v>618</v>
      </c>
      <c r="E88" s="854" t="s">
        <v>2126</v>
      </c>
      <c r="F88" s="856">
        <v>556.03</v>
      </c>
    </row>
    <row r="89" spans="1:6" ht="14.6" x14ac:dyDescent="0.4">
      <c r="A89" s="854" t="s">
        <v>576</v>
      </c>
      <c r="B89" s="855">
        <v>43658</v>
      </c>
      <c r="C89" s="854" t="s">
        <v>2104</v>
      </c>
      <c r="D89" s="854" t="s">
        <v>618</v>
      </c>
      <c r="E89" s="854" t="s">
        <v>2127</v>
      </c>
      <c r="F89" s="856">
        <v>71.61</v>
      </c>
    </row>
    <row r="90" spans="1:6" ht="14.6" x14ac:dyDescent="0.4">
      <c r="A90" s="854" t="s">
        <v>576</v>
      </c>
      <c r="B90" s="855">
        <v>43658</v>
      </c>
      <c r="C90" s="854" t="s">
        <v>2104</v>
      </c>
      <c r="D90" s="854" t="s">
        <v>618</v>
      </c>
      <c r="E90" s="854" t="s">
        <v>2128</v>
      </c>
      <c r="F90" s="856">
        <v>121.63</v>
      </c>
    </row>
    <row r="91" spans="1:6" ht="14.6" x14ac:dyDescent="0.4">
      <c r="A91" s="854" t="s">
        <v>576</v>
      </c>
      <c r="B91" s="855">
        <v>43658</v>
      </c>
      <c r="C91" s="854" t="s">
        <v>2104</v>
      </c>
      <c r="D91" s="854" t="s">
        <v>618</v>
      </c>
      <c r="E91" s="854" t="s">
        <v>2129</v>
      </c>
      <c r="F91" s="856">
        <v>17.05</v>
      </c>
    </row>
    <row r="92" spans="1:6" ht="14.6" x14ac:dyDescent="0.4">
      <c r="A92" s="854" t="s">
        <v>576</v>
      </c>
      <c r="B92" s="855">
        <v>43658</v>
      </c>
      <c r="C92" s="854" t="s">
        <v>2104</v>
      </c>
      <c r="D92" s="854" t="s">
        <v>618</v>
      </c>
      <c r="E92" s="854" t="s">
        <v>2130</v>
      </c>
      <c r="F92" s="856">
        <v>52.7</v>
      </c>
    </row>
    <row r="93" spans="1:6" ht="14.6" x14ac:dyDescent="0.4">
      <c r="A93" s="854" t="s">
        <v>576</v>
      </c>
      <c r="B93" s="855">
        <v>43658</v>
      </c>
      <c r="C93" s="854" t="s">
        <v>2104</v>
      </c>
      <c r="D93" s="854" t="s">
        <v>618</v>
      </c>
      <c r="E93" s="854" t="s">
        <v>2131</v>
      </c>
      <c r="F93" s="856">
        <v>37.51</v>
      </c>
    </row>
    <row r="94" spans="1:6" ht="14.6" x14ac:dyDescent="0.4">
      <c r="A94" s="854" t="s">
        <v>576</v>
      </c>
      <c r="B94" s="855">
        <v>43658</v>
      </c>
      <c r="C94" s="854" t="s">
        <v>2105</v>
      </c>
      <c r="D94" s="854" t="s">
        <v>618</v>
      </c>
      <c r="E94" s="854" t="s">
        <v>2132</v>
      </c>
      <c r="F94" s="856">
        <v>0.51</v>
      </c>
    </row>
    <row r="95" spans="1:6" ht="14.6" x14ac:dyDescent="0.4">
      <c r="A95" s="854" t="s">
        <v>576</v>
      </c>
      <c r="B95" s="855">
        <v>43658</v>
      </c>
      <c r="C95" s="854" t="s">
        <v>2105</v>
      </c>
      <c r="D95" s="854" t="s">
        <v>618</v>
      </c>
      <c r="E95" s="854" t="s">
        <v>2133</v>
      </c>
      <c r="F95" s="856">
        <v>0.17</v>
      </c>
    </row>
    <row r="96" spans="1:6" ht="14.6" x14ac:dyDescent="0.4">
      <c r="A96" s="854" t="s">
        <v>576</v>
      </c>
      <c r="B96" s="855">
        <v>43658</v>
      </c>
      <c r="C96" s="854" t="s">
        <v>2105</v>
      </c>
      <c r="D96" s="854" t="s">
        <v>618</v>
      </c>
      <c r="E96" s="854" t="s">
        <v>2134</v>
      </c>
      <c r="F96" s="856">
        <v>0.11</v>
      </c>
    </row>
    <row r="97" spans="1:6" ht="14.6" x14ac:dyDescent="0.4">
      <c r="A97" s="854" t="s">
        <v>576</v>
      </c>
      <c r="B97" s="855">
        <v>43658</v>
      </c>
      <c r="C97" s="854" t="s">
        <v>2105</v>
      </c>
      <c r="D97" s="854" t="s">
        <v>618</v>
      </c>
      <c r="E97" s="854" t="s">
        <v>2135</v>
      </c>
      <c r="F97" s="856">
        <v>0.04</v>
      </c>
    </row>
    <row r="98" spans="1:6" ht="14.6" x14ac:dyDescent="0.4">
      <c r="A98" s="854" t="s">
        <v>576</v>
      </c>
      <c r="B98" s="855">
        <v>43658</v>
      </c>
      <c r="C98" s="854" t="s">
        <v>2105</v>
      </c>
      <c r="D98" s="854" t="s">
        <v>618</v>
      </c>
      <c r="E98" s="854" t="s">
        <v>2136</v>
      </c>
      <c r="F98" s="856">
        <v>0.09</v>
      </c>
    </row>
    <row r="99" spans="1:6" ht="14.6" x14ac:dyDescent="0.4">
      <c r="A99" s="854" t="s">
        <v>576</v>
      </c>
      <c r="B99" s="855">
        <v>43677</v>
      </c>
      <c r="C99" s="854" t="s">
        <v>2121</v>
      </c>
      <c r="D99" s="854" t="s">
        <v>619</v>
      </c>
      <c r="E99" s="854" t="s">
        <v>637</v>
      </c>
      <c r="F99" s="856">
        <v>50</v>
      </c>
    </row>
    <row r="100" spans="1:6" ht="14.6" x14ac:dyDescent="0.4">
      <c r="A100" s="854" t="s">
        <v>576</v>
      </c>
      <c r="B100" s="855">
        <v>43677</v>
      </c>
      <c r="C100" s="854" t="s">
        <v>2122</v>
      </c>
      <c r="D100" s="854" t="s">
        <v>619</v>
      </c>
      <c r="E100" s="854" t="s">
        <v>1445</v>
      </c>
      <c r="F100" s="856">
        <v>0</v>
      </c>
    </row>
    <row r="101" spans="1:6" ht="14.6" x14ac:dyDescent="0.4">
      <c r="A101" s="854" t="s">
        <v>576</v>
      </c>
      <c r="B101" s="855">
        <v>43677</v>
      </c>
      <c r="C101" s="854" t="s">
        <v>2122</v>
      </c>
      <c r="D101" s="854" t="s">
        <v>619</v>
      </c>
      <c r="E101" s="854" t="s">
        <v>1446</v>
      </c>
      <c r="F101" s="856">
        <v>0</v>
      </c>
    </row>
    <row r="102" spans="1:6" ht="14.6" x14ac:dyDescent="0.4">
      <c r="A102" s="854" t="s">
        <v>576</v>
      </c>
      <c r="B102" s="855">
        <v>43677</v>
      </c>
      <c r="C102" s="854" t="s">
        <v>2122</v>
      </c>
      <c r="D102" s="854" t="s">
        <v>619</v>
      </c>
      <c r="E102" s="854" t="s">
        <v>1447</v>
      </c>
      <c r="F102" s="856">
        <v>0</v>
      </c>
    </row>
    <row r="103" spans="1:6" ht="14.6" x14ac:dyDescent="0.4">
      <c r="A103" s="854" t="s">
        <v>576</v>
      </c>
      <c r="B103" s="855">
        <v>43677</v>
      </c>
      <c r="C103" s="854" t="s">
        <v>2122</v>
      </c>
      <c r="D103" s="854" t="s">
        <v>619</v>
      </c>
      <c r="E103" s="854" t="s">
        <v>1448</v>
      </c>
      <c r="F103" s="856">
        <v>0</v>
      </c>
    </row>
    <row r="104" spans="1:6" ht="14.6" x14ac:dyDescent="0.4">
      <c r="A104" s="854" t="s">
        <v>576</v>
      </c>
      <c r="B104" s="855">
        <v>43677</v>
      </c>
      <c r="C104" s="854" t="s">
        <v>2122</v>
      </c>
      <c r="D104" s="854" t="s">
        <v>619</v>
      </c>
      <c r="E104" s="854" t="s">
        <v>1449</v>
      </c>
      <c r="F104" s="856">
        <v>0</v>
      </c>
    </row>
    <row r="105" spans="1:6" ht="14.6" x14ac:dyDescent="0.4">
      <c r="A105" s="854" t="s">
        <v>576</v>
      </c>
      <c r="B105" s="855">
        <v>43677</v>
      </c>
      <c r="C105" s="854" t="s">
        <v>2122</v>
      </c>
      <c r="D105" s="854" t="s">
        <v>619</v>
      </c>
      <c r="E105" s="854" t="s">
        <v>1450</v>
      </c>
      <c r="F105" s="856">
        <v>0</v>
      </c>
    </row>
    <row r="106" spans="1:6" ht="14.6" x14ac:dyDescent="0.4">
      <c r="A106" s="854" t="s">
        <v>576</v>
      </c>
      <c r="B106" s="855">
        <v>43677</v>
      </c>
      <c r="C106" s="854" t="s">
        <v>2122</v>
      </c>
      <c r="D106" s="854" t="s">
        <v>619</v>
      </c>
      <c r="E106" s="854" t="s">
        <v>1451</v>
      </c>
      <c r="F106" s="856">
        <v>0</v>
      </c>
    </row>
    <row r="107" spans="1:6" ht="14.6" x14ac:dyDescent="0.4">
      <c r="A107" s="854" t="s">
        <v>576</v>
      </c>
      <c r="B107" s="855">
        <v>43677</v>
      </c>
      <c r="C107" s="854" t="s">
        <v>2122</v>
      </c>
      <c r="D107" s="854" t="s">
        <v>619</v>
      </c>
      <c r="E107" s="854" t="s">
        <v>2137</v>
      </c>
      <c r="F107" s="856">
        <v>100</v>
      </c>
    </row>
    <row r="108" spans="1:6" ht="14.6" x14ac:dyDescent="0.4">
      <c r="A108" s="854" t="s">
        <v>576</v>
      </c>
      <c r="B108" s="855">
        <v>43677</v>
      </c>
      <c r="C108" s="854" t="s">
        <v>2122</v>
      </c>
      <c r="D108" s="854" t="s">
        <v>619</v>
      </c>
      <c r="E108" s="854" t="s">
        <v>1453</v>
      </c>
      <c r="F108" s="856">
        <v>0</v>
      </c>
    </row>
    <row r="109" spans="1:6" ht="14.6" x14ac:dyDescent="0.4">
      <c r="A109" s="854" t="s">
        <v>576</v>
      </c>
      <c r="B109" s="855">
        <v>43708</v>
      </c>
      <c r="C109" s="854" t="s">
        <v>2123</v>
      </c>
      <c r="D109" s="854" t="s">
        <v>619</v>
      </c>
      <c r="E109" s="854" t="s">
        <v>637</v>
      </c>
      <c r="F109" s="856">
        <v>50</v>
      </c>
    </row>
    <row r="110" spans="1:6" ht="14.6" x14ac:dyDescent="0.4">
      <c r="A110" s="854" t="s">
        <v>576</v>
      </c>
      <c r="B110" s="855">
        <v>43708</v>
      </c>
      <c r="C110" s="854" t="s">
        <v>2124</v>
      </c>
      <c r="D110" s="854" t="s">
        <v>619</v>
      </c>
      <c r="E110" s="854" t="s">
        <v>1445</v>
      </c>
      <c r="F110" s="856">
        <v>0</v>
      </c>
    </row>
    <row r="111" spans="1:6" ht="14.6" x14ac:dyDescent="0.4">
      <c r="A111" s="854" t="s">
        <v>576</v>
      </c>
      <c r="B111" s="855">
        <v>43708</v>
      </c>
      <c r="C111" s="854" t="s">
        <v>2124</v>
      </c>
      <c r="D111" s="854" t="s">
        <v>619</v>
      </c>
      <c r="E111" s="854" t="s">
        <v>1446</v>
      </c>
      <c r="F111" s="856">
        <v>0</v>
      </c>
    </row>
    <row r="112" spans="1:6" ht="14.6" x14ac:dyDescent="0.4">
      <c r="A112" s="854" t="s">
        <v>576</v>
      </c>
      <c r="B112" s="855">
        <v>43708</v>
      </c>
      <c r="C112" s="854" t="s">
        <v>2124</v>
      </c>
      <c r="D112" s="854" t="s">
        <v>619</v>
      </c>
      <c r="E112" s="854" t="s">
        <v>1447</v>
      </c>
      <c r="F112" s="856">
        <v>0</v>
      </c>
    </row>
    <row r="113" spans="1:6" ht="14.6" x14ac:dyDescent="0.4">
      <c r="A113" s="854" t="s">
        <v>576</v>
      </c>
      <c r="B113" s="855">
        <v>43708</v>
      </c>
      <c r="C113" s="854" t="s">
        <v>2124</v>
      </c>
      <c r="D113" s="854" t="s">
        <v>619</v>
      </c>
      <c r="E113" s="854" t="s">
        <v>1448</v>
      </c>
      <c r="F113" s="856">
        <v>0</v>
      </c>
    </row>
    <row r="114" spans="1:6" ht="14.6" x14ac:dyDescent="0.4">
      <c r="A114" s="854" t="s">
        <v>576</v>
      </c>
      <c r="B114" s="855">
        <v>43708</v>
      </c>
      <c r="C114" s="854" t="s">
        <v>2124</v>
      </c>
      <c r="D114" s="854" t="s">
        <v>619</v>
      </c>
      <c r="E114" s="854" t="s">
        <v>1449</v>
      </c>
      <c r="F114" s="856">
        <v>0</v>
      </c>
    </row>
    <row r="115" spans="1:6" ht="14.6" x14ac:dyDescent="0.4">
      <c r="A115" s="854" t="s">
        <v>576</v>
      </c>
      <c r="B115" s="855">
        <v>43708</v>
      </c>
      <c r="C115" s="854" t="s">
        <v>2124</v>
      </c>
      <c r="D115" s="854" t="s">
        <v>619</v>
      </c>
      <c r="E115" s="854" t="s">
        <v>1450</v>
      </c>
      <c r="F115" s="856">
        <v>0</v>
      </c>
    </row>
    <row r="116" spans="1:6" ht="14.6" x14ac:dyDescent="0.4">
      <c r="A116" s="854" t="s">
        <v>576</v>
      </c>
      <c r="B116" s="855">
        <v>43708</v>
      </c>
      <c r="C116" s="854" t="s">
        <v>2124</v>
      </c>
      <c r="D116" s="854" t="s">
        <v>619</v>
      </c>
      <c r="E116" s="854" t="s">
        <v>1451</v>
      </c>
      <c r="F116" s="856">
        <v>0</v>
      </c>
    </row>
    <row r="117" spans="1:6" ht="14.6" x14ac:dyDescent="0.4">
      <c r="A117" s="854" t="s">
        <v>576</v>
      </c>
      <c r="B117" s="855">
        <v>43708</v>
      </c>
      <c r="C117" s="854" t="s">
        <v>2124</v>
      </c>
      <c r="D117" s="854" t="s">
        <v>619</v>
      </c>
      <c r="E117" s="854" t="s">
        <v>2138</v>
      </c>
      <c r="F117" s="856">
        <v>100</v>
      </c>
    </row>
    <row r="118" spans="1:6" ht="14.6" x14ac:dyDescent="0.4">
      <c r="A118" s="854" t="s">
        <v>576</v>
      </c>
      <c r="B118" s="855">
        <v>43708</v>
      </c>
      <c r="C118" s="854" t="s">
        <v>2124</v>
      </c>
      <c r="D118" s="854" t="s">
        <v>619</v>
      </c>
      <c r="E118" s="854" t="s">
        <v>1453</v>
      </c>
      <c r="F118" s="856">
        <v>0</v>
      </c>
    </row>
    <row r="119" spans="1:6" ht="14.6" x14ac:dyDescent="0.4">
      <c r="A119" s="854" t="s">
        <v>576</v>
      </c>
      <c r="B119" s="855">
        <v>43714</v>
      </c>
      <c r="C119" s="854" t="s">
        <v>2110</v>
      </c>
      <c r="D119" s="854" t="s">
        <v>618</v>
      </c>
      <c r="E119" s="854" t="s">
        <v>2139</v>
      </c>
      <c r="F119" s="856">
        <v>532.1</v>
      </c>
    </row>
    <row r="120" spans="1:6" ht="14.6" x14ac:dyDescent="0.4">
      <c r="A120" s="854" t="s">
        <v>576</v>
      </c>
      <c r="B120" s="855">
        <v>43714</v>
      </c>
      <c r="C120" s="854" t="s">
        <v>2110</v>
      </c>
      <c r="D120" s="854" t="s">
        <v>618</v>
      </c>
      <c r="E120" s="854" t="s">
        <v>2140</v>
      </c>
      <c r="F120" s="856">
        <v>53.26</v>
      </c>
    </row>
    <row r="121" spans="1:6" ht="14.6" x14ac:dyDescent="0.4">
      <c r="A121" s="854" t="s">
        <v>576</v>
      </c>
      <c r="B121" s="855">
        <v>43714</v>
      </c>
      <c r="C121" s="854" t="s">
        <v>2110</v>
      </c>
      <c r="D121" s="854" t="s">
        <v>618</v>
      </c>
      <c r="E121" s="854" t="s">
        <v>2141</v>
      </c>
      <c r="F121" s="856">
        <v>116.4</v>
      </c>
    </row>
    <row r="122" spans="1:6" ht="14.6" x14ac:dyDescent="0.4">
      <c r="A122" s="854" t="s">
        <v>576</v>
      </c>
      <c r="B122" s="855">
        <v>43714</v>
      </c>
      <c r="C122" s="854" t="s">
        <v>2110</v>
      </c>
      <c r="D122" s="854" t="s">
        <v>618</v>
      </c>
      <c r="E122" s="854" t="s">
        <v>2142</v>
      </c>
      <c r="F122" s="856">
        <v>15.14</v>
      </c>
    </row>
    <row r="123" spans="1:6" ht="14.6" x14ac:dyDescent="0.4">
      <c r="A123" s="854" t="s">
        <v>576</v>
      </c>
      <c r="B123" s="855">
        <v>43714</v>
      </c>
      <c r="C123" s="854" t="s">
        <v>2110</v>
      </c>
      <c r="D123" s="854" t="s">
        <v>618</v>
      </c>
      <c r="E123" s="854" t="s">
        <v>2143</v>
      </c>
      <c r="F123" s="856">
        <v>13.6</v>
      </c>
    </row>
    <row r="124" spans="1:6" ht="14.6" x14ac:dyDescent="0.4">
      <c r="A124" s="854" t="s">
        <v>576</v>
      </c>
      <c r="B124" s="855">
        <v>43714</v>
      </c>
      <c r="C124" s="854" t="s">
        <v>2110</v>
      </c>
      <c r="D124" s="854" t="s">
        <v>618</v>
      </c>
      <c r="E124" s="854" t="s">
        <v>2144</v>
      </c>
      <c r="F124" s="856">
        <v>27.9</v>
      </c>
    </row>
    <row r="125" spans="1:6" ht="14.6" x14ac:dyDescent="0.4">
      <c r="A125" s="854" t="s">
        <v>576</v>
      </c>
      <c r="B125" s="855">
        <v>43714</v>
      </c>
      <c r="C125" s="854" t="s">
        <v>2110</v>
      </c>
      <c r="D125" s="854" t="s">
        <v>618</v>
      </c>
      <c r="E125" s="854" t="s">
        <v>2145</v>
      </c>
      <c r="F125" s="856">
        <v>31.7</v>
      </c>
    </row>
    <row r="126" spans="1:6" ht="14.6" x14ac:dyDescent="0.4">
      <c r="A126" s="854" t="s">
        <v>576</v>
      </c>
      <c r="B126" s="855">
        <v>43714</v>
      </c>
      <c r="C126" s="854" t="s">
        <v>2111</v>
      </c>
      <c r="D126" s="854" t="s">
        <v>618</v>
      </c>
      <c r="E126" s="854" t="s">
        <v>2146</v>
      </c>
      <c r="F126" s="856">
        <v>4.74</v>
      </c>
    </row>
    <row r="127" spans="1:6" ht="14.6" x14ac:dyDescent="0.4">
      <c r="A127" s="854" t="s">
        <v>576</v>
      </c>
      <c r="B127" s="855">
        <v>43714</v>
      </c>
      <c r="C127" s="854" t="s">
        <v>2111</v>
      </c>
      <c r="D127" s="854" t="s">
        <v>618</v>
      </c>
      <c r="E127" s="854" t="s">
        <v>2147</v>
      </c>
      <c r="F127" s="856">
        <v>0.21</v>
      </c>
    </row>
    <row r="128" spans="1:6" ht="14.6" x14ac:dyDescent="0.4">
      <c r="A128" s="854" t="s">
        <v>576</v>
      </c>
      <c r="B128" s="855">
        <v>43714</v>
      </c>
      <c r="C128" s="854" t="s">
        <v>2111</v>
      </c>
      <c r="D128" s="854" t="s">
        <v>618</v>
      </c>
      <c r="E128" s="854" t="s">
        <v>2148</v>
      </c>
      <c r="F128" s="856">
        <v>1.04</v>
      </c>
    </row>
    <row r="129" spans="1:6" ht="14.6" x14ac:dyDescent="0.4">
      <c r="A129" s="854" t="s">
        <v>576</v>
      </c>
      <c r="B129" s="855">
        <v>43714</v>
      </c>
      <c r="C129" s="854" t="s">
        <v>2111</v>
      </c>
      <c r="D129" s="854" t="s">
        <v>618</v>
      </c>
      <c r="E129" s="854" t="s">
        <v>2149</v>
      </c>
      <c r="F129" s="856">
        <v>0.05</v>
      </c>
    </row>
    <row r="130" spans="1:6" ht="14.6" x14ac:dyDescent="0.4">
      <c r="A130" s="854" t="s">
        <v>576</v>
      </c>
      <c r="B130" s="855">
        <v>43714</v>
      </c>
      <c r="C130" s="854" t="s">
        <v>2111</v>
      </c>
      <c r="D130" s="854" t="s">
        <v>618</v>
      </c>
      <c r="E130" s="854" t="s">
        <v>2150</v>
      </c>
      <c r="F130" s="856">
        <v>0.11</v>
      </c>
    </row>
    <row r="131" spans="1:6" ht="14.6" x14ac:dyDescent="0.4">
      <c r="A131" s="854" t="s">
        <v>576</v>
      </c>
      <c r="B131" s="855">
        <v>43714</v>
      </c>
      <c r="C131" s="854" t="s">
        <v>2111</v>
      </c>
      <c r="D131" s="854" t="s">
        <v>618</v>
      </c>
      <c r="E131" s="854" t="s">
        <v>2151</v>
      </c>
      <c r="F131" s="856">
        <v>0.13</v>
      </c>
    </row>
    <row r="132" spans="1:6" ht="14.6" x14ac:dyDescent="0.4">
      <c r="A132" s="854" t="s">
        <v>576</v>
      </c>
      <c r="B132" s="855">
        <v>43718</v>
      </c>
      <c r="C132" s="854" t="s">
        <v>2125</v>
      </c>
      <c r="D132" s="854" t="s">
        <v>633</v>
      </c>
      <c r="E132" s="854" t="s">
        <v>2152</v>
      </c>
      <c r="F132" s="856">
        <v>571.22</v>
      </c>
    </row>
    <row r="133" spans="1:6" ht="14.6" x14ac:dyDescent="0.4">
      <c r="A133" s="854" t="s">
        <v>576</v>
      </c>
      <c r="B133" s="855">
        <v>43734</v>
      </c>
      <c r="C133" s="854" t="s">
        <v>2491</v>
      </c>
      <c r="D133" s="854" t="s">
        <v>618</v>
      </c>
      <c r="E133" s="854" t="s">
        <v>2499</v>
      </c>
      <c r="F133" s="856">
        <v>33.659999999999997</v>
      </c>
    </row>
    <row r="134" spans="1:6" ht="14.6" x14ac:dyDescent="0.4">
      <c r="A134" s="854" t="s">
        <v>576</v>
      </c>
      <c r="B134" s="855">
        <v>43734</v>
      </c>
      <c r="C134" s="854" t="s">
        <v>2491</v>
      </c>
      <c r="D134" s="854" t="s">
        <v>618</v>
      </c>
      <c r="E134" s="854" t="s">
        <v>2500</v>
      </c>
      <c r="F134" s="856">
        <v>4.2</v>
      </c>
    </row>
    <row r="135" spans="1:6" ht="14.6" x14ac:dyDescent="0.4">
      <c r="A135" s="854" t="s">
        <v>576</v>
      </c>
      <c r="B135" s="855">
        <v>43734</v>
      </c>
      <c r="C135" s="854" t="s">
        <v>2491</v>
      </c>
      <c r="D135" s="854" t="s">
        <v>618</v>
      </c>
      <c r="E135" s="854" t="s">
        <v>2501</v>
      </c>
      <c r="F135" s="856">
        <v>7.36</v>
      </c>
    </row>
    <row r="136" spans="1:6" ht="14.6" x14ac:dyDescent="0.4">
      <c r="A136" s="854" t="s">
        <v>576</v>
      </c>
      <c r="B136" s="855">
        <v>43734</v>
      </c>
      <c r="C136" s="854" t="s">
        <v>2491</v>
      </c>
      <c r="D136" s="854" t="s">
        <v>618</v>
      </c>
      <c r="E136" s="854" t="s">
        <v>2502</v>
      </c>
      <c r="F136" s="856">
        <v>1</v>
      </c>
    </row>
    <row r="137" spans="1:6" ht="14.6" x14ac:dyDescent="0.4">
      <c r="A137" s="854" t="s">
        <v>576</v>
      </c>
      <c r="B137" s="855">
        <v>43734</v>
      </c>
      <c r="C137" s="854" t="s">
        <v>2491</v>
      </c>
      <c r="D137" s="854" t="s">
        <v>618</v>
      </c>
      <c r="E137" s="854" t="s">
        <v>1719</v>
      </c>
      <c r="F137" s="856">
        <v>0.85</v>
      </c>
    </row>
    <row r="138" spans="1:6" ht="14.6" x14ac:dyDescent="0.4">
      <c r="A138" s="854" t="s">
        <v>576</v>
      </c>
      <c r="B138" s="855">
        <v>43734</v>
      </c>
      <c r="C138" s="854" t="s">
        <v>2491</v>
      </c>
      <c r="D138" s="854" t="s">
        <v>618</v>
      </c>
      <c r="E138" s="854" t="s">
        <v>2503</v>
      </c>
      <c r="F138" s="856">
        <v>2.2000000000000002</v>
      </c>
    </row>
    <row r="139" spans="1:6" ht="14.6" x14ac:dyDescent="0.4">
      <c r="A139" s="854" t="s">
        <v>576</v>
      </c>
      <c r="B139" s="855">
        <v>43734</v>
      </c>
      <c r="C139" s="854" t="s">
        <v>2491</v>
      </c>
      <c r="D139" s="854" t="s">
        <v>618</v>
      </c>
      <c r="E139" s="854" t="s">
        <v>2504</v>
      </c>
      <c r="F139" s="856">
        <v>2.5</v>
      </c>
    </row>
    <row r="140" spans="1:6" ht="14.6" x14ac:dyDescent="0.4">
      <c r="A140" s="854" t="s">
        <v>576</v>
      </c>
      <c r="B140" s="855">
        <v>43734</v>
      </c>
      <c r="C140" s="854" t="s">
        <v>2491</v>
      </c>
      <c r="D140" s="854" t="s">
        <v>618</v>
      </c>
      <c r="E140" s="854" t="s">
        <v>2505</v>
      </c>
      <c r="F140" s="856">
        <v>3.9</v>
      </c>
    </row>
    <row r="141" spans="1:6" ht="14.6" x14ac:dyDescent="0.4">
      <c r="A141" s="854" t="s">
        <v>576</v>
      </c>
      <c r="B141" s="855">
        <v>43738</v>
      </c>
      <c r="C141" s="854" t="s">
        <v>2498</v>
      </c>
      <c r="D141" s="854" t="s">
        <v>619</v>
      </c>
      <c r="E141" s="854" t="s">
        <v>637</v>
      </c>
      <c r="F141" s="856">
        <v>55.72</v>
      </c>
    </row>
    <row r="142" spans="1:6" ht="14.6" x14ac:dyDescent="0.4">
      <c r="A142" s="854" t="s">
        <v>576</v>
      </c>
      <c r="B142" s="855">
        <v>43768</v>
      </c>
      <c r="C142" s="854" t="s">
        <v>2811</v>
      </c>
      <c r="D142" s="854" t="s">
        <v>619</v>
      </c>
      <c r="E142" s="854" t="s">
        <v>637</v>
      </c>
      <c r="F142" s="856">
        <v>50</v>
      </c>
    </row>
    <row r="143" spans="1:6" ht="14.6" x14ac:dyDescent="0.4">
      <c r="A143" s="854" t="s">
        <v>576</v>
      </c>
      <c r="B143" s="855">
        <v>43799</v>
      </c>
      <c r="C143" s="854" t="s">
        <v>3044</v>
      </c>
      <c r="D143" s="854" t="s">
        <v>619</v>
      </c>
      <c r="E143" s="854" t="s">
        <v>637</v>
      </c>
      <c r="F143" s="856">
        <v>50</v>
      </c>
    </row>
    <row r="144" spans="1:6" thickBot="1" x14ac:dyDescent="0.45">
      <c r="A144" s="854" t="s">
        <v>576</v>
      </c>
      <c r="B144" s="855">
        <v>43805</v>
      </c>
      <c r="C144" s="854" t="s">
        <v>3045</v>
      </c>
      <c r="D144" s="854" t="s">
        <v>595</v>
      </c>
      <c r="E144" s="854" t="s">
        <v>3046</v>
      </c>
      <c r="F144" s="857">
        <v>57</v>
      </c>
    </row>
    <row r="145" spans="1:6" thickBot="1" x14ac:dyDescent="0.45">
      <c r="A145" s="854"/>
      <c r="B145" s="855"/>
      <c r="C145" s="854"/>
      <c r="D145" s="854"/>
      <c r="E145" s="854"/>
      <c r="F145" s="858">
        <f>ROUND(SUM(F3:F144),5)</f>
        <v>49723.14</v>
      </c>
    </row>
    <row r="146" spans="1:6" thickBot="1" x14ac:dyDescent="0.45">
      <c r="A146" s="854"/>
      <c r="B146" s="855"/>
      <c r="C146" s="854"/>
      <c r="D146" s="854"/>
      <c r="E146" s="854"/>
      <c r="F146" s="858">
        <f>F145</f>
        <v>49723.14</v>
      </c>
    </row>
    <row r="147" spans="1:6" ht="15" customHeight="1" thickBot="1" x14ac:dyDescent="0.45">
      <c r="A147" s="854"/>
      <c r="B147" s="855"/>
      <c r="C147" s="854"/>
      <c r="D147" s="854"/>
      <c r="E147" s="854"/>
      <c r="F147" s="859">
        <f>F146</f>
        <v>49723.14</v>
      </c>
    </row>
    <row r="148" spans="1:6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3:52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640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16401" r:id="rId4" name="FILTER"/>
      </mc:Fallback>
    </mc:AlternateContent>
    <mc:AlternateContent xmlns:mc="http://schemas.openxmlformats.org/markup-compatibility/2006">
      <mc:Choice Requires="x14">
        <control shapeId="1640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538843</xdr:colOff>
                <xdr:row>1</xdr:row>
                <xdr:rowOff>38100</xdr:rowOff>
              </to>
            </anchor>
          </controlPr>
        </control>
      </mc:Choice>
      <mc:Fallback>
        <control shapeId="16402" r:id="rId6" name="HEADER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F24"/>
  <sheetViews>
    <sheetView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E1" sqref="E1"/>
    </sheetView>
  </sheetViews>
  <sheetFormatPr defaultColWidth="14.3828125" defaultRowHeight="15" customHeight="1" x14ac:dyDescent="0.4"/>
  <cols>
    <col min="1" max="1" width="6.3828125" style="861" bestFit="1" customWidth="1"/>
    <col min="2" max="2" width="10.69140625" style="861" bestFit="1" customWidth="1"/>
    <col min="3" max="3" width="9.53515625" style="861" bestFit="1" customWidth="1"/>
    <col min="4" max="5" width="30.69140625" style="861" customWidth="1"/>
    <col min="6" max="6" width="8.15234375" style="861" bestFit="1" customWidth="1"/>
  </cols>
  <sheetData>
    <row r="1" spans="1:6" s="890" customFormat="1" thickBot="1" x14ac:dyDescent="0.45">
      <c r="A1" s="860" t="s">
        <v>182</v>
      </c>
      <c r="B1" s="860" t="s">
        <v>184</v>
      </c>
      <c r="C1" s="860" t="s">
        <v>185</v>
      </c>
      <c r="D1" s="860" t="s">
        <v>186</v>
      </c>
      <c r="E1" s="860" t="s">
        <v>187</v>
      </c>
      <c r="F1" s="860" t="s">
        <v>189</v>
      </c>
    </row>
    <row r="2" spans="1:6" thickTop="1" x14ac:dyDescent="0.4">
      <c r="A2" s="854"/>
      <c r="B2" s="855"/>
      <c r="C2" s="854"/>
      <c r="D2" s="854"/>
      <c r="E2" s="854"/>
      <c r="F2" s="856"/>
    </row>
    <row r="3" spans="1:6" ht="14.6" x14ac:dyDescent="0.4">
      <c r="A3" s="854"/>
      <c r="B3" s="855"/>
      <c r="C3" s="854"/>
      <c r="D3" s="854"/>
      <c r="E3" s="854"/>
      <c r="F3" s="856"/>
    </row>
    <row r="4" spans="1:6" ht="14.6" x14ac:dyDescent="0.4">
      <c r="A4" s="854" t="s">
        <v>576</v>
      </c>
      <c r="B4" s="855">
        <v>43475</v>
      </c>
      <c r="C4" s="854" t="s">
        <v>659</v>
      </c>
      <c r="D4" s="854" t="s">
        <v>661</v>
      </c>
      <c r="E4" s="854" t="s">
        <v>662</v>
      </c>
      <c r="F4" s="856">
        <v>638.55999999999995</v>
      </c>
    </row>
    <row r="5" spans="1:6" ht="14.6" x14ac:dyDescent="0.4">
      <c r="A5" s="854" t="s">
        <v>576</v>
      </c>
      <c r="B5" s="855">
        <v>43523</v>
      </c>
      <c r="C5" s="854" t="s">
        <v>660</v>
      </c>
      <c r="D5" s="854" t="s">
        <v>661</v>
      </c>
      <c r="E5" s="854" t="s">
        <v>662</v>
      </c>
      <c r="F5" s="856">
        <v>505.29</v>
      </c>
    </row>
    <row r="6" spans="1:6" ht="14.6" x14ac:dyDescent="0.4">
      <c r="A6" s="854" t="s">
        <v>576</v>
      </c>
      <c r="B6" s="855">
        <v>43570</v>
      </c>
      <c r="C6" s="854" t="s">
        <v>1206</v>
      </c>
      <c r="D6" s="854" t="s">
        <v>1207</v>
      </c>
      <c r="E6" s="854" t="s">
        <v>1208</v>
      </c>
      <c r="F6" s="856">
        <v>720.78</v>
      </c>
    </row>
    <row r="7" spans="1:6" ht="14.6" x14ac:dyDescent="0.4">
      <c r="A7" s="854" t="s">
        <v>576</v>
      </c>
      <c r="B7" s="855">
        <v>43591</v>
      </c>
      <c r="C7" s="854" t="s">
        <v>1565</v>
      </c>
      <c r="D7" s="854" t="s">
        <v>1207</v>
      </c>
      <c r="E7" s="854" t="s">
        <v>1208</v>
      </c>
      <c r="F7" s="856">
        <v>235.16</v>
      </c>
    </row>
    <row r="8" spans="1:6" ht="14.6" x14ac:dyDescent="0.4">
      <c r="A8" s="854" t="s">
        <v>576</v>
      </c>
      <c r="B8" s="855">
        <v>43593</v>
      </c>
      <c r="C8" s="854" t="s">
        <v>1566</v>
      </c>
      <c r="D8" s="854" t="s">
        <v>1207</v>
      </c>
      <c r="E8" s="854" t="s">
        <v>1208</v>
      </c>
      <c r="F8" s="856">
        <v>382.31</v>
      </c>
    </row>
    <row r="9" spans="1:6" ht="14.6" x14ac:dyDescent="0.4">
      <c r="A9" s="854" t="s">
        <v>576</v>
      </c>
      <c r="B9" s="855">
        <v>43605</v>
      </c>
      <c r="C9" s="854" t="s">
        <v>1727</v>
      </c>
      <c r="D9" s="854" t="s">
        <v>1207</v>
      </c>
      <c r="E9" s="854" t="s">
        <v>1208</v>
      </c>
      <c r="F9" s="856">
        <v>224</v>
      </c>
    </row>
    <row r="10" spans="1:6" ht="14.6" x14ac:dyDescent="0.4">
      <c r="A10" s="854" t="s">
        <v>576</v>
      </c>
      <c r="B10" s="855">
        <v>43606</v>
      </c>
      <c r="C10" s="854" t="s">
        <v>1728</v>
      </c>
      <c r="D10" s="854" t="s">
        <v>1207</v>
      </c>
      <c r="E10" s="854" t="s">
        <v>1208</v>
      </c>
      <c r="F10" s="856">
        <v>435.69</v>
      </c>
    </row>
    <row r="11" spans="1:6" ht="14.6" x14ac:dyDescent="0.4">
      <c r="A11" s="854" t="s">
        <v>576</v>
      </c>
      <c r="B11" s="855">
        <v>43627</v>
      </c>
      <c r="C11" s="854" t="s">
        <v>1905</v>
      </c>
      <c r="D11" s="854" t="s">
        <v>1207</v>
      </c>
      <c r="E11" s="854" t="s">
        <v>1208</v>
      </c>
      <c r="F11" s="856">
        <v>419.32</v>
      </c>
    </row>
    <row r="12" spans="1:6" ht="14.6" x14ac:dyDescent="0.4">
      <c r="A12" s="854" t="s">
        <v>576</v>
      </c>
      <c r="B12" s="855">
        <v>43630</v>
      </c>
      <c r="C12" s="854" t="s">
        <v>2153</v>
      </c>
      <c r="D12" s="854" t="s">
        <v>1207</v>
      </c>
      <c r="E12" s="854" t="s">
        <v>1208</v>
      </c>
      <c r="F12" s="856">
        <v>511.92</v>
      </c>
    </row>
    <row r="13" spans="1:6" ht="14.6" x14ac:dyDescent="0.4">
      <c r="A13" s="854" t="s">
        <v>576</v>
      </c>
      <c r="B13" s="855">
        <v>43647</v>
      </c>
      <c r="C13" s="854" t="s">
        <v>1906</v>
      </c>
      <c r="D13" s="854" t="s">
        <v>1207</v>
      </c>
      <c r="E13" s="854" t="s">
        <v>1208</v>
      </c>
      <c r="F13" s="856">
        <v>293.95</v>
      </c>
    </row>
    <row r="14" spans="1:6" ht="14.6" x14ac:dyDescent="0.4">
      <c r="A14" s="854" t="s">
        <v>576</v>
      </c>
      <c r="B14" s="855">
        <v>43675</v>
      </c>
      <c r="C14" s="854" t="s">
        <v>2154</v>
      </c>
      <c r="D14" s="854" t="s">
        <v>1207</v>
      </c>
      <c r="E14" s="854" t="s">
        <v>1208</v>
      </c>
      <c r="F14" s="856">
        <v>375.34</v>
      </c>
    </row>
    <row r="15" spans="1:6" ht="14.6" x14ac:dyDescent="0.4">
      <c r="A15" s="854" t="s">
        <v>689</v>
      </c>
      <c r="B15" s="855">
        <v>43683</v>
      </c>
      <c r="C15" s="854" t="s">
        <v>2155</v>
      </c>
      <c r="D15" s="854" t="s">
        <v>1207</v>
      </c>
      <c r="E15" s="854" t="s">
        <v>2157</v>
      </c>
      <c r="F15" s="856">
        <v>-178.47</v>
      </c>
    </row>
    <row r="16" spans="1:6" ht="14.6" x14ac:dyDescent="0.4">
      <c r="A16" s="854" t="s">
        <v>576</v>
      </c>
      <c r="B16" s="855">
        <v>43692</v>
      </c>
      <c r="C16" s="854" t="s">
        <v>2156</v>
      </c>
      <c r="D16" s="854" t="s">
        <v>1207</v>
      </c>
      <c r="E16" s="854" t="s">
        <v>1208</v>
      </c>
      <c r="F16" s="856">
        <v>538.04999999999995</v>
      </c>
    </row>
    <row r="17" spans="1:6" ht="14.6" x14ac:dyDescent="0.4">
      <c r="A17" s="854" t="s">
        <v>576</v>
      </c>
      <c r="B17" s="855">
        <v>43746</v>
      </c>
      <c r="C17" s="854" t="s">
        <v>2506</v>
      </c>
      <c r="D17" s="854" t="s">
        <v>1207</v>
      </c>
      <c r="E17" s="854" t="s">
        <v>1208</v>
      </c>
      <c r="F17" s="856">
        <v>727.39</v>
      </c>
    </row>
    <row r="18" spans="1:6" ht="14.6" x14ac:dyDescent="0.4">
      <c r="A18" s="854" t="s">
        <v>576</v>
      </c>
      <c r="B18" s="855">
        <v>43756</v>
      </c>
      <c r="C18" s="854" t="s">
        <v>2507</v>
      </c>
      <c r="D18" s="854" t="s">
        <v>1207</v>
      </c>
      <c r="E18" s="854" t="s">
        <v>1208</v>
      </c>
      <c r="F18" s="856">
        <v>558.11</v>
      </c>
    </row>
    <row r="19" spans="1:6" ht="14.6" x14ac:dyDescent="0.4">
      <c r="A19" s="854" t="s">
        <v>576</v>
      </c>
      <c r="B19" s="855">
        <v>43815</v>
      </c>
      <c r="C19" s="854" t="s">
        <v>3047</v>
      </c>
      <c r="D19" s="854" t="s">
        <v>1207</v>
      </c>
      <c r="E19" s="854" t="s">
        <v>1208</v>
      </c>
      <c r="F19" s="856">
        <v>71.88</v>
      </c>
    </row>
    <row r="20" spans="1:6" thickBot="1" x14ac:dyDescent="0.45">
      <c r="A20" s="854" t="s">
        <v>576</v>
      </c>
      <c r="B20" s="855">
        <v>43815</v>
      </c>
      <c r="C20" s="854" t="s">
        <v>3048</v>
      </c>
      <c r="D20" s="854" t="s">
        <v>1207</v>
      </c>
      <c r="E20" s="854" t="s">
        <v>1208</v>
      </c>
      <c r="F20" s="857">
        <v>478.85</v>
      </c>
    </row>
    <row r="21" spans="1:6" thickBot="1" x14ac:dyDescent="0.45">
      <c r="A21" s="854"/>
      <c r="B21" s="855"/>
      <c r="C21" s="854"/>
      <c r="D21" s="854"/>
      <c r="E21" s="854"/>
      <c r="F21" s="858">
        <f>ROUND(SUM(F3:F20),5)</f>
        <v>6938.13</v>
      </c>
    </row>
    <row r="22" spans="1:6" thickBot="1" x14ac:dyDescent="0.45">
      <c r="A22" s="854"/>
      <c r="B22" s="855"/>
      <c r="C22" s="854"/>
      <c r="D22" s="854"/>
      <c r="E22" s="854"/>
      <c r="F22" s="858">
        <f>F21</f>
        <v>6938.13</v>
      </c>
    </row>
    <row r="23" spans="1:6" ht="15" customHeight="1" thickBot="1" x14ac:dyDescent="0.45">
      <c r="A23" s="854"/>
      <c r="B23" s="855"/>
      <c r="C23" s="854"/>
      <c r="D23" s="854"/>
      <c r="E23" s="854"/>
      <c r="F23" s="859">
        <f>F22</f>
        <v>6938.13</v>
      </c>
    </row>
    <row r="24" spans="1:6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3:53 PM
&amp;"Arial,Bold"&amp;8 01/15/20
&amp;"Arial,Bold"&amp;8 Accrual Basis&amp;C&amp;"Arial,Bold"&amp;12 Williamson Central Appraisal District
&amp;"Arial,Bold"&amp;14 Account QuickReport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742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462643</xdr:colOff>
                <xdr:row>1</xdr:row>
                <xdr:rowOff>38100</xdr:rowOff>
              </to>
            </anchor>
          </controlPr>
        </control>
      </mc:Choice>
      <mc:Fallback>
        <control shapeId="17423" r:id="rId4" name="FILTER"/>
      </mc:Fallback>
    </mc:AlternateContent>
    <mc:AlternateContent xmlns:mc="http://schemas.openxmlformats.org/markup-compatibility/2006">
      <mc:Choice Requires="x14">
        <control shapeId="1742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462643</xdr:colOff>
                <xdr:row>1</xdr:row>
                <xdr:rowOff>38100</xdr:rowOff>
              </to>
            </anchor>
          </controlPr>
        </control>
      </mc:Choice>
      <mc:Fallback>
        <control shapeId="17424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43</vt:i4>
      </vt:variant>
    </vt:vector>
  </HeadingPairs>
  <TitlesOfParts>
    <vt:vector size="73" baseType="lpstr">
      <vt:lpstr>3% Overview</vt:lpstr>
      <vt:lpstr>3% Personnel</vt:lpstr>
      <vt:lpstr>Budget-Services</vt:lpstr>
      <vt:lpstr>ARB Budget</vt:lpstr>
      <vt:lpstr>Recap chart</vt:lpstr>
      <vt:lpstr>6110</vt:lpstr>
      <vt:lpstr>6120</vt:lpstr>
      <vt:lpstr>6130</vt:lpstr>
      <vt:lpstr>6140</vt:lpstr>
      <vt:lpstr>6150</vt:lpstr>
      <vt:lpstr>6160</vt:lpstr>
      <vt:lpstr>6210</vt:lpstr>
      <vt:lpstr>6215</vt:lpstr>
      <vt:lpstr>6220</vt:lpstr>
      <vt:lpstr>6225</vt:lpstr>
      <vt:lpstr>6235</vt:lpstr>
      <vt:lpstr>6236</vt:lpstr>
      <vt:lpstr>6240</vt:lpstr>
      <vt:lpstr>6250</vt:lpstr>
      <vt:lpstr>6260</vt:lpstr>
      <vt:lpstr>6280</vt:lpstr>
      <vt:lpstr>6285</vt:lpstr>
      <vt:lpstr>6290</vt:lpstr>
      <vt:lpstr>6310</vt:lpstr>
      <vt:lpstr>6320</vt:lpstr>
      <vt:lpstr>6330</vt:lpstr>
      <vt:lpstr>6340</vt:lpstr>
      <vt:lpstr>6350</vt:lpstr>
      <vt:lpstr>6810</vt:lpstr>
      <vt:lpstr>8010</vt:lpstr>
      <vt:lpstr>'3% Overview'!Print_Area</vt:lpstr>
      <vt:lpstr>'3% Personnel'!Print_Area</vt:lpstr>
      <vt:lpstr>'ARB Budget'!Print_Area</vt:lpstr>
      <vt:lpstr>'Budget-Services'!Print_Area</vt:lpstr>
      <vt:lpstr>'3% Personnel'!Print_Titles</vt:lpstr>
      <vt:lpstr>'ARB Budget'!Print_Titles</vt:lpstr>
      <vt:lpstr>'Budget-Services'!Print_Titles</vt:lpstr>
      <vt:lpstr>'3% Personnel'!Z_1E23C528_1A93_4869_8FED_629E3BA1C1FB_.wvu.Cols</vt:lpstr>
      <vt:lpstr>'ARB Budget'!Z_1E23C528_1A93_4869_8FED_629E3BA1C1FB_.wvu.Cols</vt:lpstr>
      <vt:lpstr>'Budget-Services'!Z_1E23C528_1A93_4869_8FED_629E3BA1C1FB_.wvu.Cols</vt:lpstr>
      <vt:lpstr>'3% Overview'!Z_1E23C528_1A93_4869_8FED_629E3BA1C1FB_.wvu.PrintArea</vt:lpstr>
      <vt:lpstr>'3% Personnel'!Z_1E23C528_1A93_4869_8FED_629E3BA1C1FB_.wvu.PrintArea</vt:lpstr>
      <vt:lpstr>'ARB Budget'!Z_1E23C528_1A93_4869_8FED_629E3BA1C1FB_.wvu.PrintArea</vt:lpstr>
      <vt:lpstr>'Budget-Services'!Z_1E23C528_1A93_4869_8FED_629E3BA1C1FB_.wvu.PrintArea</vt:lpstr>
      <vt:lpstr>'Budget-Services'!Z_1E23C528_1A93_4869_8FED_629E3BA1C1FB_.wvu.PrintTitles</vt:lpstr>
      <vt:lpstr>'3% Personnel'!Z_240D0F1E_8A4A_44D9_9D18_FC2DB01D505B_.wvu.Cols</vt:lpstr>
      <vt:lpstr>'ARB Budget'!Z_240D0F1E_8A4A_44D9_9D18_FC2DB01D505B_.wvu.Cols</vt:lpstr>
      <vt:lpstr>'Budget-Services'!Z_311A91B1_0912_4AA5_9366_B03CF50601A2_.wvu.PrintTitles</vt:lpstr>
      <vt:lpstr>'Budget-Services'!Z_34964384_DFBD_46D8_9B9F_2D86A517A166_.wvu.PrintTitles</vt:lpstr>
      <vt:lpstr>'Budget-Services'!Z_462CB3DC_B2E4_454C_83C1_B844BA7D19AA_.wvu.PrintTitles</vt:lpstr>
      <vt:lpstr>'Budget-Services'!Z_6D2BABDE_BF95_4644_811C_B4DB4C5FF4DD_.wvu.PrintTitles</vt:lpstr>
      <vt:lpstr>'Budget-Services'!Z_7B966C76_DF97_4627_BB3C_77955DB39D00_.wvu.PrintTitles</vt:lpstr>
      <vt:lpstr>'3% Personnel'!Z_867852E4_99EF_4389_8FD0_AFAB4495F746_.wvu.Cols</vt:lpstr>
      <vt:lpstr>'Budget-Services'!Z_867852E4_99EF_4389_8FD0_AFAB4495F746_.wvu.PrintTitles</vt:lpstr>
      <vt:lpstr>'3% Personnel'!Z_87C375DB_B8D6_4CDB_A372_B6AF8E723C83_.wvu.Cols</vt:lpstr>
      <vt:lpstr>'ARB Budget'!Z_87C375DB_B8D6_4CDB_A372_B6AF8E723C83_.wvu.Cols</vt:lpstr>
      <vt:lpstr>'ARB Budget'!Z_8AFAE271_A818_42D9_A8EF_972712D95EDE_.wvu.Cols</vt:lpstr>
      <vt:lpstr>'Budget-Services'!Z_8AFAE271_A818_42D9_A8EF_972712D95EDE_.wvu.Cols</vt:lpstr>
      <vt:lpstr>'Budget-Services'!Z_8AFAE271_A818_42D9_A8EF_972712D95EDE_.wvu.PrintArea</vt:lpstr>
      <vt:lpstr>'Budget-Services'!Z_8AFAE271_A818_42D9_A8EF_972712D95EDE_.wvu.PrintTitles</vt:lpstr>
      <vt:lpstr>'3% Personnel'!Z_C064177C_B77C_40AF_A193_4D3DF85CE067_.wvu.Cols</vt:lpstr>
      <vt:lpstr>'ARB Budget'!Z_C064177C_B77C_40AF_A193_4D3DF85CE067_.wvu.Cols</vt:lpstr>
      <vt:lpstr>'Budget-Services'!Z_C064177C_B77C_40AF_A193_4D3DF85CE067_.wvu.Cols</vt:lpstr>
      <vt:lpstr>'3% Overview'!Z_C064177C_B77C_40AF_A193_4D3DF85CE067_.wvu.PrintArea</vt:lpstr>
      <vt:lpstr>'3% Personnel'!Z_C064177C_B77C_40AF_A193_4D3DF85CE067_.wvu.PrintArea</vt:lpstr>
      <vt:lpstr>'ARB Budget'!Z_C064177C_B77C_40AF_A193_4D3DF85CE067_.wvu.PrintArea</vt:lpstr>
      <vt:lpstr>'Budget-Services'!Z_C064177C_B77C_40AF_A193_4D3DF85CE067_.wvu.PrintArea</vt:lpstr>
      <vt:lpstr>'Budget-Services'!Z_C064177C_B77C_40AF_A193_4D3DF85CE067_.wvu.PrintTitles</vt:lpstr>
      <vt:lpstr>'Budget-Services'!Z_C48E47E7_FA0B_4A20_94A3_280718E1E67E_.wvu.PrintTitles</vt:lpstr>
      <vt:lpstr>'Budget-Services'!Z_C67EED5A_831B_42B7_8FDB_8094D4B26582_.wvu.PrintTitles</vt:lpstr>
      <vt:lpstr>'Budget-Services'!Z_E4A729BB_04B9_4DDA_A845_D330ECD6C6DE_.wvu.PrintTitles</vt:lpstr>
      <vt:lpstr>'3% Personnel'!Z_FB8A7251_402B_4E68_AD89_100C31417887_.wvu.Cols</vt:lpstr>
      <vt:lpstr>'ARB Budget'!Z_FB8A7251_402B_4E68_AD89_100C31417887_.wvu.Cols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Gamboa</dc:creator>
  <cp:lastModifiedBy>Kimberly Gamboa</cp:lastModifiedBy>
  <cp:lastPrinted>2020-02-04T21:49:27Z</cp:lastPrinted>
  <dcterms:created xsi:type="dcterms:W3CDTF">2018-04-13T13:33:25Z</dcterms:created>
  <dcterms:modified xsi:type="dcterms:W3CDTF">2025-01-24T17:09:15Z</dcterms:modified>
</cp:coreProperties>
</file>